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70" windowHeight="7320" firstSheet="7" activeTab="10"/>
  </bookViews>
  <sheets>
    <sheet name="①当期実績予想売上高" sheetId="2" r:id="rId1"/>
    <sheet name="②予算編成方針売上高" sheetId="3" r:id="rId2"/>
    <sheet name="③次期予算売上高" sheetId="1" r:id="rId3"/>
    <sheet name="④予算損益計算書" sheetId="4" r:id="rId4"/>
    <sheet name="⑤次期予算消費税等計画書" sheetId="5" r:id="rId5"/>
    <sheet name="⑥次期商品仕入兼在庫計画書" sheetId="6" r:id="rId6"/>
    <sheet name="⑦当期実績予想売上代金回収関係" sheetId="8" r:id="rId7"/>
    <sheet name="⑧次期売上代金回収計画" sheetId="7" r:id="rId8"/>
    <sheet name="⑨月次資金計画書" sheetId="9" r:id="rId9"/>
    <sheet name="⑩予算比較貸借対照表" sheetId="10" r:id="rId10"/>
    <sheet name="⑪予算ＣＦ" sheetId="11" r:id="rId11"/>
  </sheets>
  <externalReferences>
    <externalReference r:id="rId12"/>
  </externalReferences>
  <definedNames>
    <definedName name="_xlnm.Print_Area" localSheetId="0">①当期実績予想売上高!$C$2:$X$56</definedName>
    <definedName name="_xlnm.Print_Area" localSheetId="1">②予算編成方針売上高!$D$2:$AD$94</definedName>
    <definedName name="_xlnm.Print_Area" localSheetId="2">③次期予算売上高!$C$2:$AB$53</definedName>
    <definedName name="_xlnm.Print_Area" localSheetId="3">④予算損益計算書!$B$2:$K$15</definedName>
    <definedName name="_xlnm.Print_Area" localSheetId="4">⑤次期予算消費税等計画書!$A$2:$Z$32</definedName>
    <definedName name="_xlnm.Print_Area" localSheetId="7">⑧次期売上代金回収計画!$C$2:$AD$107</definedName>
    <definedName name="_xlnm.Print_Area" localSheetId="8">⑨月次資金計画書!$A$1:$AA$14</definedName>
    <definedName name="_xlnm.Print_Area" localSheetId="9">⑩予算比較貸借対照表!$C$1:$N$16</definedName>
    <definedName name="_xlnm.Print_Area" localSheetId="10">⑪予算ＣＦ!$F$3:$AG$60</definedName>
  </definedNames>
  <calcPr calcId="145621"/>
</workbook>
</file>

<file path=xl/calcChain.xml><?xml version="1.0" encoding="utf-8"?>
<calcChain xmlns="http://schemas.openxmlformats.org/spreadsheetml/2006/main">
  <c r="I59" i="11" l="1"/>
  <c r="N44" i="11"/>
  <c r="AA44" i="11" s="1"/>
  <c r="R105" i="7"/>
  <c r="R104" i="7"/>
  <c r="Q105" i="7"/>
  <c r="P105" i="7"/>
  <c r="O105" i="7"/>
  <c r="N105" i="7"/>
  <c r="M105" i="7"/>
  <c r="L105" i="7"/>
  <c r="Q104" i="7"/>
  <c r="P104" i="7"/>
  <c r="O104" i="7"/>
  <c r="N104" i="7"/>
  <c r="M104" i="7"/>
  <c r="L104" i="7"/>
  <c r="L100" i="7"/>
  <c r="L101" i="7" s="1"/>
  <c r="K105" i="7"/>
  <c r="O97" i="7"/>
  <c r="P88" i="7"/>
  <c r="V87" i="7"/>
  <c r="U87" i="7"/>
  <c r="T87" i="7"/>
  <c r="S87" i="7"/>
  <c r="R87" i="7"/>
  <c r="Q87" i="7"/>
  <c r="P87" i="7"/>
  <c r="O87" i="7"/>
  <c r="N87" i="7"/>
  <c r="M87" i="7"/>
  <c r="L87" i="7"/>
  <c r="W67" i="7"/>
  <c r="W66" i="7"/>
  <c r="X63" i="7"/>
  <c r="Y63" i="7" s="1"/>
  <c r="L63" i="7"/>
  <c r="K63" i="7"/>
  <c r="J60" i="7"/>
  <c r="I60" i="7"/>
  <c r="V59" i="7"/>
  <c r="U59" i="7"/>
  <c r="T59" i="7"/>
  <c r="S59" i="7"/>
  <c r="R59" i="7"/>
  <c r="Q59" i="7"/>
  <c r="P59" i="7"/>
  <c r="O59" i="7"/>
  <c r="N59" i="7"/>
  <c r="M59" i="7"/>
  <c r="L59" i="7"/>
  <c r="K59" i="7"/>
  <c r="W59" i="7" s="1"/>
  <c r="V58" i="7"/>
  <c r="U58" i="7"/>
  <c r="T58" i="7"/>
  <c r="S58" i="7"/>
  <c r="R58" i="7"/>
  <c r="R96" i="7" s="1"/>
  <c r="Q58" i="7"/>
  <c r="P58" i="7"/>
  <c r="O58" i="7"/>
  <c r="N58" i="7"/>
  <c r="N96" i="7" s="1"/>
  <c r="M58" i="7"/>
  <c r="M51" i="7"/>
  <c r="M54" i="7" s="1"/>
  <c r="V50" i="7"/>
  <c r="V51" i="7" s="1"/>
  <c r="U50" i="7"/>
  <c r="U51" i="7" s="1"/>
  <c r="U54" i="7" s="1"/>
  <c r="T50" i="7"/>
  <c r="T51" i="7" s="1"/>
  <c r="S50" i="7"/>
  <c r="S51" i="7" s="1"/>
  <c r="S54" i="7" s="1"/>
  <c r="R50" i="7"/>
  <c r="R51" i="7" s="1"/>
  <c r="Q50" i="7"/>
  <c r="Q51" i="7" s="1"/>
  <c r="Q54" i="7" s="1"/>
  <c r="P50" i="7"/>
  <c r="P51" i="7" s="1"/>
  <c r="O50" i="7"/>
  <c r="O51" i="7" s="1"/>
  <c r="O54" i="7" s="1"/>
  <c r="N50" i="7"/>
  <c r="N51" i="7" s="1"/>
  <c r="M50" i="7"/>
  <c r="L50" i="7"/>
  <c r="L51" i="7" s="1"/>
  <c r="K50" i="7"/>
  <c r="W49" i="7"/>
  <c r="I50" i="7"/>
  <c r="V24" i="7"/>
  <c r="U24" i="7"/>
  <c r="T24" i="7"/>
  <c r="S24" i="7"/>
  <c r="R24" i="7"/>
  <c r="R97" i="7" s="1"/>
  <c r="Q24" i="7"/>
  <c r="Q97" i="7" s="1"/>
  <c r="P24" i="7"/>
  <c r="P97" i="7" s="1"/>
  <c r="V23" i="7"/>
  <c r="U23" i="7"/>
  <c r="T23" i="7"/>
  <c r="S23" i="7"/>
  <c r="R23" i="7"/>
  <c r="Q23" i="7"/>
  <c r="Q96" i="7" s="1"/>
  <c r="P23" i="7"/>
  <c r="P96" i="7" s="1"/>
  <c r="O24" i="7"/>
  <c r="O23" i="7"/>
  <c r="O96" i="7" s="1"/>
  <c r="O22" i="7"/>
  <c r="O25" i="7" s="1"/>
  <c r="O27" i="7" s="1"/>
  <c r="N30" i="7"/>
  <c r="N24" i="7"/>
  <c r="N97" i="7" s="1"/>
  <c r="N23" i="7"/>
  <c r="R16" i="7"/>
  <c r="R17" i="7" s="1"/>
  <c r="R18" i="7" s="1"/>
  <c r="V15" i="7"/>
  <c r="V16" i="7" s="1"/>
  <c r="V17" i="7" s="1"/>
  <c r="V18" i="7" s="1"/>
  <c r="U15" i="7"/>
  <c r="U16" i="7" s="1"/>
  <c r="T15" i="7"/>
  <c r="T16" i="7" s="1"/>
  <c r="T19" i="7" s="1"/>
  <c r="S15" i="7"/>
  <c r="S16" i="7" s="1"/>
  <c r="R15" i="7"/>
  <c r="Q15" i="7"/>
  <c r="Q16" i="7" s="1"/>
  <c r="P15" i="7"/>
  <c r="P16" i="7" s="1"/>
  <c r="P19" i="7" s="1"/>
  <c r="O15" i="7"/>
  <c r="O16" i="7" s="1"/>
  <c r="N15" i="7"/>
  <c r="N16" i="7" s="1"/>
  <c r="N17" i="7" s="1"/>
  <c r="N18" i="7" s="1"/>
  <c r="M16" i="7"/>
  <c r="M17" i="7" s="1"/>
  <c r="M15" i="7"/>
  <c r="M88" i="7" s="1"/>
  <c r="M24" i="7"/>
  <c r="M97" i="7" s="1"/>
  <c r="M23" i="7"/>
  <c r="M96" i="7" s="1"/>
  <c r="L28" i="7"/>
  <c r="L24" i="7"/>
  <c r="L97" i="7" s="1"/>
  <c r="K24" i="7"/>
  <c r="K97" i="7" s="1"/>
  <c r="I103" i="8"/>
  <c r="J102" i="8"/>
  <c r="I102" i="8"/>
  <c r="J101" i="8"/>
  <c r="I101" i="8"/>
  <c r="J100" i="8"/>
  <c r="I100" i="8"/>
  <c r="K98" i="8"/>
  <c r="I98" i="8"/>
  <c r="L97" i="8"/>
  <c r="L98" i="8" s="1"/>
  <c r="K97" i="8"/>
  <c r="I97" i="8"/>
  <c r="L94" i="8"/>
  <c r="J94" i="8"/>
  <c r="I94" i="8"/>
  <c r="L93" i="8"/>
  <c r="J93" i="8"/>
  <c r="I93" i="8"/>
  <c r="Q94" i="8" s="1"/>
  <c r="Q92" i="8"/>
  <c r="L92" i="8"/>
  <c r="L95" i="8" s="1"/>
  <c r="J92" i="8"/>
  <c r="I92" i="8"/>
  <c r="Q93" i="8" s="1"/>
  <c r="I85" i="8"/>
  <c r="M84" i="8"/>
  <c r="L84" i="8"/>
  <c r="K84" i="8"/>
  <c r="Z76" i="8"/>
  <c r="P76" i="8"/>
  <c r="P67" i="8"/>
  <c r="Q67" i="8" s="1"/>
  <c r="O67" i="8"/>
  <c r="N67" i="8"/>
  <c r="M67" i="8"/>
  <c r="L67" i="8"/>
  <c r="L66" i="8"/>
  <c r="S63" i="8"/>
  <c r="R63" i="8"/>
  <c r="L63" i="8"/>
  <c r="K63" i="8"/>
  <c r="J63" i="8"/>
  <c r="R62" i="8"/>
  <c r="S62" i="8" s="1"/>
  <c r="L60" i="8"/>
  <c r="J60" i="8"/>
  <c r="I60" i="8"/>
  <c r="Q59" i="8"/>
  <c r="P59" i="8"/>
  <c r="O59" i="8"/>
  <c r="N59" i="8"/>
  <c r="M59" i="8"/>
  <c r="Q58" i="8"/>
  <c r="M58" i="8"/>
  <c r="M62" i="8" s="1"/>
  <c r="Q57" i="8"/>
  <c r="L51" i="8"/>
  <c r="L54" i="8" s="1"/>
  <c r="O50" i="8"/>
  <c r="M50" i="8"/>
  <c r="M51" i="8" s="1"/>
  <c r="L50" i="8"/>
  <c r="K50" i="8"/>
  <c r="K51" i="8" s="1"/>
  <c r="I50" i="8"/>
  <c r="P49" i="8"/>
  <c r="P50" i="8" s="1"/>
  <c r="O49" i="8"/>
  <c r="N49" i="8"/>
  <c r="J49" i="8"/>
  <c r="I49" i="8"/>
  <c r="Z41" i="8"/>
  <c r="P41" i="8"/>
  <c r="M41" i="8"/>
  <c r="P32" i="8"/>
  <c r="O32" i="8"/>
  <c r="O102" i="8" s="1"/>
  <c r="N32" i="8"/>
  <c r="N102" i="8" s="1"/>
  <c r="M32" i="8"/>
  <c r="M102" i="8" s="1"/>
  <c r="L32" i="8"/>
  <c r="L31" i="8"/>
  <c r="L101" i="8" s="1"/>
  <c r="R28" i="8"/>
  <c r="S28" i="8" s="1"/>
  <c r="L28" i="8"/>
  <c r="K28" i="8"/>
  <c r="J28" i="8"/>
  <c r="R27" i="8"/>
  <c r="S27" i="8" s="1"/>
  <c r="L25" i="8"/>
  <c r="J25" i="8"/>
  <c r="J95" i="8" s="1"/>
  <c r="I25" i="8"/>
  <c r="I95" i="8" s="1"/>
  <c r="Q24" i="8"/>
  <c r="P24" i="8"/>
  <c r="P94" i="8" s="1"/>
  <c r="O24" i="8"/>
  <c r="O94" i="8" s="1"/>
  <c r="N24" i="8"/>
  <c r="N94" i="8" s="1"/>
  <c r="M24" i="8"/>
  <c r="M94" i="8" s="1"/>
  <c r="Q23" i="8"/>
  <c r="M23" i="8"/>
  <c r="M93" i="8" s="1"/>
  <c r="Q22" i="8"/>
  <c r="P15" i="8"/>
  <c r="P85" i="8" s="1"/>
  <c r="M15" i="8"/>
  <c r="M85" i="8" s="1"/>
  <c r="L15" i="8"/>
  <c r="L16" i="8" s="1"/>
  <c r="K15" i="8"/>
  <c r="K16" i="8" s="1"/>
  <c r="K17" i="8" s="1"/>
  <c r="P14" i="8"/>
  <c r="O14" i="8"/>
  <c r="O84" i="8" s="1"/>
  <c r="N14" i="8"/>
  <c r="N15" i="8" s="1"/>
  <c r="J14" i="8"/>
  <c r="J84" i="8" s="1"/>
  <c r="I14" i="8"/>
  <c r="I15" i="8" s="1"/>
  <c r="Z6" i="8"/>
  <c r="P6" i="8"/>
  <c r="O28" i="7" l="1"/>
  <c r="J13" i="9"/>
  <c r="P16" i="8"/>
  <c r="P17" i="8" s="1"/>
  <c r="Q25" i="8"/>
  <c r="O51" i="8"/>
  <c r="O54" i="8" s="1"/>
  <c r="Q60" i="8"/>
  <c r="R30" i="7"/>
  <c r="V30" i="7"/>
  <c r="Q88" i="7"/>
  <c r="Q89" i="7" s="1"/>
  <c r="L102" i="8"/>
  <c r="P102" i="8"/>
  <c r="W24" i="7"/>
  <c r="N88" i="7"/>
  <c r="N89" i="7" s="1"/>
  <c r="M16" i="8"/>
  <c r="M19" i="8" s="1"/>
  <c r="N84" i="8"/>
  <c r="Q95" i="8"/>
  <c r="O88" i="7"/>
  <c r="P89" i="7"/>
  <c r="P92" i="7" s="1"/>
  <c r="O89" i="7"/>
  <c r="O90" i="7" s="1"/>
  <c r="M89" i="7"/>
  <c r="M92" i="7" s="1"/>
  <c r="P90" i="7"/>
  <c r="W50" i="7"/>
  <c r="W51" i="7" s="1"/>
  <c r="W54" i="7" s="1"/>
  <c r="K51" i="7"/>
  <c r="K54" i="7" s="1"/>
  <c r="W97" i="7" s="1"/>
  <c r="L54" i="7"/>
  <c r="L52" i="7"/>
  <c r="P54" i="7"/>
  <c r="P52" i="7"/>
  <c r="T54" i="7"/>
  <c r="T52" i="7"/>
  <c r="N54" i="7"/>
  <c r="N52" i="7"/>
  <c r="R54" i="7"/>
  <c r="R52" i="7"/>
  <c r="V54" i="7"/>
  <c r="V52" i="7"/>
  <c r="K52" i="7"/>
  <c r="O52" i="7"/>
  <c r="S52" i="7"/>
  <c r="I51" i="7"/>
  <c r="M52" i="7"/>
  <c r="Q52" i="7"/>
  <c r="U52" i="7"/>
  <c r="O19" i="7"/>
  <c r="O17" i="7"/>
  <c r="S19" i="7"/>
  <c r="S17" i="7"/>
  <c r="Q17" i="7"/>
  <c r="Q19" i="7"/>
  <c r="U17" i="7"/>
  <c r="U19" i="7"/>
  <c r="P17" i="7"/>
  <c r="T17" i="7"/>
  <c r="N19" i="7"/>
  <c r="R19" i="7"/>
  <c r="V19" i="7"/>
  <c r="M30" i="7"/>
  <c r="M18" i="7"/>
  <c r="M19" i="7"/>
  <c r="K54" i="8"/>
  <c r="K52" i="8"/>
  <c r="L17" i="8"/>
  <c r="L19" i="8"/>
  <c r="K18" i="8"/>
  <c r="R49" i="8"/>
  <c r="M52" i="8"/>
  <c r="M54" i="8"/>
  <c r="M63" i="8"/>
  <c r="I16" i="8"/>
  <c r="P19" i="8"/>
  <c r="O52" i="8"/>
  <c r="M86" i="8"/>
  <c r="Q14" i="8"/>
  <c r="O15" i="8"/>
  <c r="O85" i="8" s="1"/>
  <c r="O86" i="8" s="1"/>
  <c r="N16" i="8"/>
  <c r="M17" i="8"/>
  <c r="K19" i="8"/>
  <c r="Q32" i="8"/>
  <c r="Q102" i="8" s="1"/>
  <c r="Q48" i="8"/>
  <c r="S49" i="8"/>
  <c r="J50" i="8"/>
  <c r="N50" i="8"/>
  <c r="N51" i="8" s="1"/>
  <c r="I51" i="8"/>
  <c r="L52" i="8"/>
  <c r="I84" i="8"/>
  <c r="L85" i="8"/>
  <c r="L86" i="8" s="1"/>
  <c r="J15" i="8"/>
  <c r="P51" i="8"/>
  <c r="P84" i="8"/>
  <c r="P86" i="8" s="1"/>
  <c r="K85" i="8"/>
  <c r="Q13" i="8"/>
  <c r="M27" i="8"/>
  <c r="Q49" i="8"/>
  <c r="N90" i="7" l="1"/>
  <c r="N92" i="7"/>
  <c r="Q90" i="7"/>
  <c r="Q91" i="7" s="1"/>
  <c r="Q92" i="7"/>
  <c r="S18" i="7"/>
  <c r="S30" i="7"/>
  <c r="T22" i="7" s="1"/>
  <c r="T25" i="7" s="1"/>
  <c r="T27" i="7" s="1"/>
  <c r="T28" i="7" s="1"/>
  <c r="O92" i="7"/>
  <c r="M103" i="7"/>
  <c r="N22" i="7"/>
  <c r="T18" i="7"/>
  <c r="T30" i="7"/>
  <c r="U22" i="7" s="1"/>
  <c r="U25" i="7" s="1"/>
  <c r="U27" i="7" s="1"/>
  <c r="U28" i="7" s="1"/>
  <c r="O18" i="7"/>
  <c r="O30" i="7"/>
  <c r="O33" i="7"/>
  <c r="O34" i="7" s="1"/>
  <c r="S33" i="7"/>
  <c r="O16" i="8"/>
  <c r="P18" i="7"/>
  <c r="P30" i="7"/>
  <c r="Q18" i="7"/>
  <c r="Q30" i="7"/>
  <c r="S22" i="7"/>
  <c r="S25" i="7" s="1"/>
  <c r="S27" i="7" s="1"/>
  <c r="S28" i="7" s="1"/>
  <c r="U18" i="7"/>
  <c r="U34" i="7"/>
  <c r="U30" i="7"/>
  <c r="V22" i="7" s="1"/>
  <c r="V25" i="7" s="1"/>
  <c r="M90" i="7"/>
  <c r="N91" i="7"/>
  <c r="P91" i="7"/>
  <c r="M91" i="7"/>
  <c r="O91" i="7"/>
  <c r="M65" i="7"/>
  <c r="N57" i="7" s="1"/>
  <c r="N60" i="7" s="1"/>
  <c r="N62" i="7" s="1"/>
  <c r="N63" i="7" s="1"/>
  <c r="M53" i="7"/>
  <c r="Q65" i="7"/>
  <c r="R57" i="7" s="1"/>
  <c r="R60" i="7" s="1"/>
  <c r="R62" i="7" s="1"/>
  <c r="R63" i="7" s="1"/>
  <c r="Q53" i="7"/>
  <c r="I54" i="7"/>
  <c r="I52" i="7"/>
  <c r="K53" i="7"/>
  <c r="K65" i="7"/>
  <c r="L57" i="7" s="1"/>
  <c r="W52" i="7"/>
  <c r="V68" i="7"/>
  <c r="V65" i="7"/>
  <c r="W65" i="7" s="1"/>
  <c r="W68" i="7" s="1"/>
  <c r="V53" i="7"/>
  <c r="N68" i="7"/>
  <c r="N69" i="7" s="1"/>
  <c r="N65" i="7"/>
  <c r="N53" i="7"/>
  <c r="P65" i="7"/>
  <c r="Q57" i="7" s="1"/>
  <c r="Q60" i="7" s="1"/>
  <c r="Q62" i="7" s="1"/>
  <c r="Q63" i="7" s="1"/>
  <c r="P53" i="7"/>
  <c r="U65" i="7"/>
  <c r="V57" i="7" s="1"/>
  <c r="V60" i="7" s="1"/>
  <c r="V62" i="7" s="1"/>
  <c r="V63" i="7" s="1"/>
  <c r="U53" i="7"/>
  <c r="O53" i="7"/>
  <c r="O65" i="7"/>
  <c r="P57" i="7" s="1"/>
  <c r="P60" i="7" s="1"/>
  <c r="P62" i="7" s="1"/>
  <c r="P63" i="7" s="1"/>
  <c r="S53" i="7"/>
  <c r="S65" i="7"/>
  <c r="T57" i="7" s="1"/>
  <c r="T60" i="7" s="1"/>
  <c r="T62" i="7" s="1"/>
  <c r="T63" i="7" s="1"/>
  <c r="R65" i="7"/>
  <c r="S57" i="7" s="1"/>
  <c r="S60" i="7" s="1"/>
  <c r="S62" i="7" s="1"/>
  <c r="S63" i="7" s="1"/>
  <c r="R53" i="7"/>
  <c r="T65" i="7"/>
  <c r="U57" i="7" s="1"/>
  <c r="U60" i="7" s="1"/>
  <c r="U62" i="7" s="1"/>
  <c r="U63" i="7" s="1"/>
  <c r="T53" i="7"/>
  <c r="L65" i="7"/>
  <c r="M57" i="7" s="1"/>
  <c r="M60" i="7" s="1"/>
  <c r="M62" i="7" s="1"/>
  <c r="L53" i="7"/>
  <c r="T33" i="7"/>
  <c r="T34" i="7" s="1"/>
  <c r="U33" i="7"/>
  <c r="L87" i="8"/>
  <c r="L88" i="8" s="1"/>
  <c r="L89" i="8"/>
  <c r="N52" i="8"/>
  <c r="N54" i="8"/>
  <c r="O87" i="8"/>
  <c r="O88" i="8" s="1"/>
  <c r="O89" i="8"/>
  <c r="M97" i="8"/>
  <c r="M98" i="8" s="1"/>
  <c r="M28" i="8"/>
  <c r="I86" i="8"/>
  <c r="T14" i="8"/>
  <c r="U14" i="8" s="1"/>
  <c r="M89" i="8"/>
  <c r="M87" i="8"/>
  <c r="M88" i="8" s="1"/>
  <c r="P30" i="8"/>
  <c r="P18" i="8"/>
  <c r="T49" i="8"/>
  <c r="U49" i="8" s="1"/>
  <c r="N19" i="8"/>
  <c r="N17" i="8"/>
  <c r="I19" i="8"/>
  <c r="I17" i="8"/>
  <c r="M65" i="8"/>
  <c r="N57" i="8"/>
  <c r="M53" i="8"/>
  <c r="Q50" i="8"/>
  <c r="Q84" i="8"/>
  <c r="N85" i="8"/>
  <c r="N86" i="8" s="1"/>
  <c r="M30" i="8"/>
  <c r="N22" i="8"/>
  <c r="M18" i="8"/>
  <c r="P54" i="8"/>
  <c r="P52" i="8"/>
  <c r="I52" i="8"/>
  <c r="I54" i="8"/>
  <c r="O17" i="8"/>
  <c r="O19" i="8"/>
  <c r="Q52" i="8"/>
  <c r="K53" i="8"/>
  <c r="P87" i="8"/>
  <c r="P88" i="8" s="1"/>
  <c r="P89" i="8"/>
  <c r="L53" i="8"/>
  <c r="L65" i="8"/>
  <c r="L68" i="8" s="1"/>
  <c r="M57" i="8"/>
  <c r="J51" i="8"/>
  <c r="O65" i="8"/>
  <c r="P57" i="8"/>
  <c r="O53" i="8"/>
  <c r="L30" i="8"/>
  <c r="M22" i="8"/>
  <c r="L18" i="8"/>
  <c r="R14" i="8"/>
  <c r="S14" i="8" s="1"/>
  <c r="K86" i="8"/>
  <c r="Q15" i="8"/>
  <c r="Q16" i="8" s="1"/>
  <c r="Q19" i="8" s="1"/>
  <c r="J85" i="8"/>
  <c r="J16" i="8"/>
  <c r="T68" i="7" l="1"/>
  <c r="T69" i="7" s="1"/>
  <c r="P22" i="7"/>
  <c r="O103" i="7"/>
  <c r="S34" i="7"/>
  <c r="U68" i="7"/>
  <c r="U69" i="7" s="1"/>
  <c r="O57" i="7"/>
  <c r="N103" i="7"/>
  <c r="V27" i="7"/>
  <c r="R103" i="7"/>
  <c r="N95" i="7"/>
  <c r="N25" i="7"/>
  <c r="Q103" i="7"/>
  <c r="R22" i="7"/>
  <c r="Q22" i="7"/>
  <c r="P103" i="7"/>
  <c r="R68" i="7"/>
  <c r="R69" i="7" s="1"/>
  <c r="M68" i="7"/>
  <c r="M69" i="7" s="1"/>
  <c r="M63" i="7"/>
  <c r="V69" i="7"/>
  <c r="I69" i="7"/>
  <c r="I53" i="7"/>
  <c r="S68" i="7"/>
  <c r="P68" i="7"/>
  <c r="P69" i="7" s="1"/>
  <c r="W53" i="7"/>
  <c r="S69" i="7"/>
  <c r="Q68" i="7"/>
  <c r="Q69" i="7" s="1"/>
  <c r="L100" i="8"/>
  <c r="L103" i="8" s="1"/>
  <c r="L33" i="8"/>
  <c r="Q53" i="8"/>
  <c r="N92" i="8"/>
  <c r="O23" i="8"/>
  <c r="N31" i="8"/>
  <c r="Q30" i="8"/>
  <c r="J30" i="7" s="1"/>
  <c r="K87" i="8"/>
  <c r="K89" i="8"/>
  <c r="M92" i="8"/>
  <c r="M95" i="8" s="1"/>
  <c r="N23" i="8"/>
  <c r="N25" i="8" s="1"/>
  <c r="M31" i="8"/>
  <c r="M33" i="8" s="1"/>
  <c r="M25" i="8"/>
  <c r="M34" i="8" s="1"/>
  <c r="T84" i="8"/>
  <c r="U84" i="8" s="1"/>
  <c r="N60" i="8"/>
  <c r="O58" i="8"/>
  <c r="O62" i="8" s="1"/>
  <c r="O63" i="8" s="1"/>
  <c r="N66" i="8"/>
  <c r="N18" i="8"/>
  <c r="N30" i="8"/>
  <c r="O22" i="8"/>
  <c r="T15" i="8"/>
  <c r="U15" i="8" s="1"/>
  <c r="R15" i="8"/>
  <c r="S15" i="8" s="1"/>
  <c r="P66" i="8"/>
  <c r="Q66" i="8" s="1"/>
  <c r="J66" i="7" s="1"/>
  <c r="K58" i="7" s="1"/>
  <c r="W58" i="7" s="1"/>
  <c r="M60" i="8"/>
  <c r="M69" i="8" s="1"/>
  <c r="N58" i="8"/>
  <c r="N62" i="8" s="1"/>
  <c r="M66" i="8"/>
  <c r="M68" i="8" s="1"/>
  <c r="O30" i="8"/>
  <c r="P22" i="8"/>
  <c r="O18" i="8"/>
  <c r="N89" i="8"/>
  <c r="N87" i="8"/>
  <c r="N88" i="8" s="1"/>
  <c r="I89" i="8"/>
  <c r="I87" i="8"/>
  <c r="N65" i="8"/>
  <c r="N68" i="8" s="1"/>
  <c r="O57" i="8"/>
  <c r="N53" i="8"/>
  <c r="R84" i="8"/>
  <c r="S84" i="8" s="1"/>
  <c r="I53" i="8"/>
  <c r="R52" i="8"/>
  <c r="S52" i="8"/>
  <c r="T50" i="8"/>
  <c r="U50" i="8" s="1"/>
  <c r="R50" i="8"/>
  <c r="S50" i="8" s="1"/>
  <c r="J19" i="8"/>
  <c r="J17" i="8"/>
  <c r="J86" i="8"/>
  <c r="J52" i="8"/>
  <c r="T52" i="8" s="1"/>
  <c r="J54" i="8"/>
  <c r="P53" i="8"/>
  <c r="P65" i="8"/>
  <c r="M100" i="8"/>
  <c r="I18" i="8"/>
  <c r="Q17" i="8"/>
  <c r="Q85" i="8"/>
  <c r="Q51" i="8"/>
  <c r="Q54" i="8" s="1"/>
  <c r="R25" i="7" l="1"/>
  <c r="R95" i="7"/>
  <c r="O60" i="7"/>
  <c r="O95" i="7"/>
  <c r="P25" i="7"/>
  <c r="P95" i="7"/>
  <c r="V28" i="7"/>
  <c r="V33" i="7"/>
  <c r="N34" i="8"/>
  <c r="K31" i="7"/>
  <c r="K22" i="7"/>
  <c r="N98" i="7"/>
  <c r="N27" i="7"/>
  <c r="N34" i="7" s="1"/>
  <c r="N33" i="7"/>
  <c r="N106" i="7" s="1"/>
  <c r="V34" i="7"/>
  <c r="N101" i="8"/>
  <c r="Q25" i="7"/>
  <c r="Q95" i="7"/>
  <c r="K88" i="8"/>
  <c r="Q87" i="8"/>
  <c r="R87" i="8" s="1"/>
  <c r="S87" i="8" s="1"/>
  <c r="N69" i="8"/>
  <c r="M101" i="8"/>
  <c r="N100" i="8"/>
  <c r="N103" i="8" s="1"/>
  <c r="N33" i="8"/>
  <c r="T85" i="8"/>
  <c r="U85" i="8" s="1"/>
  <c r="R85" i="8"/>
  <c r="S85" i="8" s="1"/>
  <c r="Q65" i="8"/>
  <c r="P68" i="8"/>
  <c r="J89" i="8"/>
  <c r="J87" i="8"/>
  <c r="O66" i="8"/>
  <c r="O68" i="8" s="1"/>
  <c r="O60" i="8"/>
  <c r="O69" i="8" s="1"/>
  <c r="P58" i="8"/>
  <c r="O100" i="8"/>
  <c r="O25" i="8"/>
  <c r="O92" i="8"/>
  <c r="P23" i="8"/>
  <c r="O31" i="8"/>
  <c r="P100" i="8"/>
  <c r="T17" i="8"/>
  <c r="U17" i="8" s="1"/>
  <c r="Q18" i="8"/>
  <c r="U52" i="8"/>
  <c r="J68" i="8"/>
  <c r="J53" i="8"/>
  <c r="P92" i="8"/>
  <c r="P31" i="8"/>
  <c r="R17" i="8"/>
  <c r="S17" i="8" s="1"/>
  <c r="M103" i="8"/>
  <c r="Q86" i="8"/>
  <c r="Q89" i="8" s="1"/>
  <c r="M104" i="8"/>
  <c r="J33" i="8"/>
  <c r="J18" i="8"/>
  <c r="I88" i="8"/>
  <c r="N63" i="8"/>
  <c r="N93" i="8"/>
  <c r="N95" i="8" s="1"/>
  <c r="N27" i="8"/>
  <c r="Q100" i="8"/>
  <c r="O93" i="8"/>
  <c r="O27" i="8"/>
  <c r="W22" i="7" l="1"/>
  <c r="N104" i="8"/>
  <c r="O34" i="8"/>
  <c r="Q68" i="8"/>
  <c r="R68" i="8" s="1"/>
  <c r="S68" i="8" s="1"/>
  <c r="J65" i="7"/>
  <c r="Q98" i="7"/>
  <c r="Q27" i="7"/>
  <c r="N28" i="7"/>
  <c r="N100" i="7"/>
  <c r="L23" i="7"/>
  <c r="O62" i="7"/>
  <c r="O98" i="7"/>
  <c r="O68" i="7"/>
  <c r="O101" i="8"/>
  <c r="O103" i="8" s="1"/>
  <c r="N107" i="7"/>
  <c r="P98" i="7"/>
  <c r="P33" i="7"/>
  <c r="P106" i="7" s="1"/>
  <c r="P27" i="7"/>
  <c r="R98" i="7"/>
  <c r="R27" i="7"/>
  <c r="R33" i="7" s="1"/>
  <c r="R106" i="7" s="1"/>
  <c r="P101" i="8"/>
  <c r="Q31" i="8"/>
  <c r="J31" i="7" s="1"/>
  <c r="K23" i="7" s="1"/>
  <c r="P33" i="8"/>
  <c r="P27" i="8"/>
  <c r="P93" i="8"/>
  <c r="J88" i="8"/>
  <c r="U87" i="8"/>
  <c r="J103" i="8"/>
  <c r="T68" i="8"/>
  <c r="U68" i="8" s="1"/>
  <c r="O33" i="8"/>
  <c r="O97" i="8"/>
  <c r="O98" i="8" s="1"/>
  <c r="O28" i="8"/>
  <c r="N97" i="8"/>
  <c r="N98" i="8" s="1"/>
  <c r="N28" i="8"/>
  <c r="Q27" i="8"/>
  <c r="J27" i="7" s="1"/>
  <c r="T87" i="8"/>
  <c r="Q88" i="8"/>
  <c r="P62" i="8"/>
  <c r="P60" i="8"/>
  <c r="P69" i="8" s="1"/>
  <c r="P95" i="8"/>
  <c r="P103" i="8"/>
  <c r="P25" i="8"/>
  <c r="P34" i="8" s="1"/>
  <c r="O95" i="8"/>
  <c r="O104" i="8" s="1"/>
  <c r="P104" i="8" l="1"/>
  <c r="P28" i="7"/>
  <c r="P100" i="7"/>
  <c r="O63" i="7"/>
  <c r="O100" i="7"/>
  <c r="W62" i="7"/>
  <c r="O69" i="7"/>
  <c r="O106" i="7"/>
  <c r="Q28" i="7"/>
  <c r="Q100" i="7"/>
  <c r="R28" i="7"/>
  <c r="R100" i="7"/>
  <c r="K66" i="7"/>
  <c r="K57" i="7"/>
  <c r="K96" i="7"/>
  <c r="W96" i="7" s="1"/>
  <c r="W23" i="7"/>
  <c r="R34" i="7"/>
  <c r="P34" i="7"/>
  <c r="O107" i="7"/>
  <c r="N101" i="7"/>
  <c r="L13" i="9"/>
  <c r="Q33" i="7"/>
  <c r="K25" i="7"/>
  <c r="Q28" i="8"/>
  <c r="T28" i="8" s="1"/>
  <c r="U28" i="8" s="1"/>
  <c r="T27" i="8"/>
  <c r="U27" i="8" s="1"/>
  <c r="Q34" i="8"/>
  <c r="P97" i="8"/>
  <c r="P98" i="8" s="1"/>
  <c r="P28" i="8"/>
  <c r="P63" i="8"/>
  <c r="Q62" i="8"/>
  <c r="J62" i="7" s="1"/>
  <c r="Q101" i="8"/>
  <c r="Q103" i="8" s="1"/>
  <c r="H14" i="10" s="1"/>
  <c r="Q33" i="8"/>
  <c r="J97" i="8"/>
  <c r="J63" i="7" l="1"/>
  <c r="X62" i="7"/>
  <c r="Y62" i="7"/>
  <c r="Q106" i="7"/>
  <c r="Q107" i="7" s="1"/>
  <c r="Q34" i="7"/>
  <c r="Q101" i="7"/>
  <c r="O13" i="9"/>
  <c r="W69" i="7"/>
  <c r="W63" i="7"/>
  <c r="R101" i="7"/>
  <c r="P13" i="9"/>
  <c r="W57" i="7"/>
  <c r="W60" i="7" s="1"/>
  <c r="X60" i="7" s="1"/>
  <c r="Y60" i="7" s="1"/>
  <c r="K60" i="7"/>
  <c r="K68" i="7" s="1"/>
  <c r="K69" i="7" s="1"/>
  <c r="K95" i="7"/>
  <c r="W95" i="7" s="1"/>
  <c r="P101" i="7"/>
  <c r="N13" i="9"/>
  <c r="L58" i="7"/>
  <c r="K104" i="7"/>
  <c r="P107" i="7"/>
  <c r="O101" i="7"/>
  <c r="M13" i="9"/>
  <c r="T103" i="8"/>
  <c r="U103" i="8" s="1"/>
  <c r="R103" i="8"/>
  <c r="S103" i="8" s="1"/>
  <c r="J98" i="8"/>
  <c r="T62" i="8"/>
  <c r="U62" i="8" s="1"/>
  <c r="Q63" i="8"/>
  <c r="T63" i="8" s="1"/>
  <c r="U63" i="8" s="1"/>
  <c r="Q69" i="8"/>
  <c r="Q97" i="8"/>
  <c r="H13" i="9" s="1"/>
  <c r="T33" i="8"/>
  <c r="U33" i="8" s="1"/>
  <c r="R33" i="8"/>
  <c r="S33" i="8" s="1"/>
  <c r="L60" i="7" l="1"/>
  <c r="L68" i="7" s="1"/>
  <c r="L69" i="7" s="1"/>
  <c r="L96" i="7"/>
  <c r="K98" i="7"/>
  <c r="T97" i="8"/>
  <c r="U97" i="8" s="1"/>
  <c r="Q98" i="8"/>
  <c r="R97" i="8"/>
  <c r="S97" i="8" s="1"/>
  <c r="Q104" i="8"/>
  <c r="T98" i="8" l="1"/>
  <c r="U98" i="8" s="1"/>
  <c r="R98" i="8"/>
  <c r="S98" i="8" s="1"/>
  <c r="L15" i="7" l="1"/>
  <c r="I106" i="7"/>
  <c r="J105" i="7"/>
  <c r="I105" i="7"/>
  <c r="J104" i="7"/>
  <c r="I104" i="7"/>
  <c r="J103" i="7"/>
  <c r="I103" i="7"/>
  <c r="I101" i="7"/>
  <c r="K100" i="7"/>
  <c r="I100" i="7"/>
  <c r="J97" i="7"/>
  <c r="I97" i="7"/>
  <c r="J96" i="7"/>
  <c r="I96" i="7"/>
  <c r="J95" i="7"/>
  <c r="I95" i="7"/>
  <c r="I88" i="7"/>
  <c r="K87" i="7"/>
  <c r="AD79" i="7"/>
  <c r="V79" i="7"/>
  <c r="AD41" i="7"/>
  <c r="V41" i="7"/>
  <c r="S41" i="7"/>
  <c r="U105" i="7"/>
  <c r="T105" i="7"/>
  <c r="S105" i="7"/>
  <c r="X28" i="7"/>
  <c r="Y28" i="7" s="1"/>
  <c r="K28" i="7"/>
  <c r="J28" i="7"/>
  <c r="J25" i="7"/>
  <c r="J98" i="7" s="1"/>
  <c r="I25" i="7"/>
  <c r="I98" i="7" s="1"/>
  <c r="U97" i="7"/>
  <c r="T97" i="7"/>
  <c r="S96" i="7"/>
  <c r="S88" i="7"/>
  <c r="K15" i="7"/>
  <c r="K88" i="7" s="1"/>
  <c r="I14" i="7"/>
  <c r="I15" i="7" s="1"/>
  <c r="AD6" i="7"/>
  <c r="V6" i="7"/>
  <c r="M37" i="6"/>
  <c r="L37" i="6"/>
  <c r="K37" i="6"/>
  <c r="J37" i="6"/>
  <c r="I37" i="6"/>
  <c r="H37" i="6"/>
  <c r="O37" i="6" s="1"/>
  <c r="J36" i="6"/>
  <c r="I36" i="6"/>
  <c r="H36" i="6"/>
  <c r="J32" i="6"/>
  <c r="K29" i="6" s="1"/>
  <c r="K32" i="6" s="1"/>
  <c r="L29" i="6" s="1"/>
  <c r="L32" i="6" s="1"/>
  <c r="M29" i="6" s="1"/>
  <c r="M32" i="6" s="1"/>
  <c r="I32" i="6"/>
  <c r="N31" i="6"/>
  <c r="Q31" i="6" s="1"/>
  <c r="R31" i="6" s="1"/>
  <c r="H31" i="6"/>
  <c r="H32" i="6" s="1"/>
  <c r="N30" i="6"/>
  <c r="Q30" i="6" s="1"/>
  <c r="R30" i="6" s="1"/>
  <c r="O29" i="6"/>
  <c r="P29" i="6" s="1"/>
  <c r="N29" i="6"/>
  <c r="Q29" i="6" s="1"/>
  <c r="R29" i="6" s="1"/>
  <c r="O23" i="6"/>
  <c r="P23" i="6" s="1"/>
  <c r="N23" i="6"/>
  <c r="Q23" i="6" s="1"/>
  <c r="R23" i="6" s="1"/>
  <c r="N22" i="6"/>
  <c r="W16" i="6"/>
  <c r="V16" i="6"/>
  <c r="U16" i="6"/>
  <c r="T16" i="6"/>
  <c r="S16" i="6"/>
  <c r="M16" i="6"/>
  <c r="M24" i="6" s="1"/>
  <c r="M38" i="6" s="1"/>
  <c r="L16" i="6"/>
  <c r="L24" i="6" s="1"/>
  <c r="L38" i="6" s="1"/>
  <c r="K16" i="6"/>
  <c r="K24" i="6" s="1"/>
  <c r="K38" i="6" s="1"/>
  <c r="J16" i="6"/>
  <c r="I16" i="6"/>
  <c r="I24" i="6" s="1"/>
  <c r="H16" i="6"/>
  <c r="H24" i="6" s="1"/>
  <c r="N37" i="6" l="1"/>
  <c r="Q37" i="6" s="1"/>
  <c r="N32" i="6"/>
  <c r="Q32" i="6" s="1"/>
  <c r="K101" i="7"/>
  <c r="I13" i="9"/>
  <c r="L16" i="7"/>
  <c r="L19" i="7" s="1"/>
  <c r="L88" i="7"/>
  <c r="L89" i="7" s="1"/>
  <c r="W25" i="7"/>
  <c r="S97" i="7"/>
  <c r="N16" i="6"/>
  <c r="Q16" i="6" s="1"/>
  <c r="L17" i="7"/>
  <c r="K16" i="7"/>
  <c r="K17" i="7" s="1"/>
  <c r="V97" i="7"/>
  <c r="W98" i="7"/>
  <c r="V105" i="7"/>
  <c r="I16" i="7"/>
  <c r="I19" i="7" s="1"/>
  <c r="S89" i="7"/>
  <c r="K89" i="7"/>
  <c r="K19" i="7"/>
  <c r="W32" i="7"/>
  <c r="W105" i="7" s="1"/>
  <c r="I87" i="7"/>
  <c r="R88" i="7"/>
  <c r="W14" i="7"/>
  <c r="W87" i="7" s="1"/>
  <c r="W13" i="7"/>
  <c r="T88" i="7"/>
  <c r="T89" i="7" s="1"/>
  <c r="H38" i="6"/>
  <c r="H25" i="6"/>
  <c r="O32" i="6"/>
  <c r="P32" i="6"/>
  <c r="R37" i="6"/>
  <c r="I25" i="6"/>
  <c r="I38" i="6"/>
  <c r="R32" i="6"/>
  <c r="O22" i="6"/>
  <c r="P22" i="6" s="1"/>
  <c r="O30" i="6"/>
  <c r="P30" i="6" s="1"/>
  <c r="O36" i="6"/>
  <c r="P36" i="6" s="1"/>
  <c r="P37" i="6"/>
  <c r="O16" i="6"/>
  <c r="P16" i="6" s="1"/>
  <c r="J24" i="6"/>
  <c r="N36" i="6"/>
  <c r="Q36" i="6" s="1"/>
  <c r="R36" i="6" s="1"/>
  <c r="R16" i="6"/>
  <c r="Q22" i="6"/>
  <c r="R22" i="6" s="1"/>
  <c r="O31" i="6"/>
  <c r="P31" i="6" s="1"/>
  <c r="L92" i="7" l="1"/>
  <c r="L90" i="7"/>
  <c r="L91" i="7" s="1"/>
  <c r="X25" i="7"/>
  <c r="Y25" i="7" s="1"/>
  <c r="X98" i="7"/>
  <c r="L18" i="7"/>
  <c r="L30" i="7"/>
  <c r="K18" i="7"/>
  <c r="K30" i="7"/>
  <c r="K33" i="7"/>
  <c r="V88" i="7"/>
  <c r="V89" i="7" s="1"/>
  <c r="V90" i="7" s="1"/>
  <c r="I17" i="7"/>
  <c r="I34" i="7" s="1"/>
  <c r="W15" i="7"/>
  <c r="T92" i="7"/>
  <c r="T90" i="7"/>
  <c r="I89" i="7"/>
  <c r="S92" i="7"/>
  <c r="S90" i="7"/>
  <c r="I18" i="7"/>
  <c r="K90" i="7"/>
  <c r="K92" i="7"/>
  <c r="U88" i="7"/>
  <c r="U89" i="7" s="1"/>
  <c r="R89" i="7"/>
  <c r="J38" i="6"/>
  <c r="J25" i="6"/>
  <c r="N24" i="6"/>
  <c r="I39" i="6"/>
  <c r="O38" i="6"/>
  <c r="P38" i="6" s="1"/>
  <c r="H39" i="6"/>
  <c r="L22" i="7" l="1"/>
  <c r="K103" i="7"/>
  <c r="M22" i="7"/>
  <c r="L103" i="7"/>
  <c r="S91" i="7"/>
  <c r="V91" i="7"/>
  <c r="T91" i="7"/>
  <c r="K106" i="7"/>
  <c r="K107" i="7" s="1"/>
  <c r="K34" i="7"/>
  <c r="Y98" i="7"/>
  <c r="S100" i="7"/>
  <c r="W16" i="7"/>
  <c r="W19" i="7" s="1"/>
  <c r="V92" i="7"/>
  <c r="W88" i="7"/>
  <c r="R90" i="7"/>
  <c r="R92" i="7"/>
  <c r="S95" i="7"/>
  <c r="S98" i="7" s="1"/>
  <c r="W30" i="7"/>
  <c r="I92" i="7"/>
  <c r="I90" i="7"/>
  <c r="I107" i="7" s="1"/>
  <c r="U90" i="7"/>
  <c r="U92" i="7"/>
  <c r="K91" i="7"/>
  <c r="J39" i="6"/>
  <c r="K22" i="6"/>
  <c r="N38" i="6"/>
  <c r="Q38" i="6" s="1"/>
  <c r="R38" i="6" s="1"/>
  <c r="Q24" i="6"/>
  <c r="R24" i="6" s="1"/>
  <c r="O24" i="6"/>
  <c r="P24" i="6" s="1"/>
  <c r="N25" i="6"/>
  <c r="O39" i="6"/>
  <c r="P39" i="6" s="1"/>
  <c r="M25" i="7" l="1"/>
  <c r="M95" i="7"/>
  <c r="S101" i="7"/>
  <c r="Q13" i="9"/>
  <c r="L25" i="7"/>
  <c r="L95" i="7"/>
  <c r="R91" i="7"/>
  <c r="R107" i="7"/>
  <c r="U91" i="7"/>
  <c r="W89" i="7"/>
  <c r="W92" i="7" s="1"/>
  <c r="I91" i="7"/>
  <c r="S103" i="7"/>
  <c r="T96" i="7"/>
  <c r="W90" i="7"/>
  <c r="V103" i="7"/>
  <c r="T95" i="7"/>
  <c r="T104" i="7"/>
  <c r="S104" i="7"/>
  <c r="W17" i="7"/>
  <c r="Q25" i="6"/>
  <c r="R25" i="6" s="1"/>
  <c r="N39" i="6"/>
  <c r="Q39" i="6" s="1"/>
  <c r="R39" i="6" s="1"/>
  <c r="O25" i="6"/>
  <c r="P25" i="6" s="1"/>
  <c r="K25" i="6"/>
  <c r="K36" i="6"/>
  <c r="L33" i="7" l="1"/>
  <c r="L98" i="7"/>
  <c r="M98" i="7"/>
  <c r="M27" i="7"/>
  <c r="T98" i="7"/>
  <c r="W103" i="7"/>
  <c r="U96" i="7"/>
  <c r="W91" i="7"/>
  <c r="T103" i="7"/>
  <c r="T106" i="7" s="1"/>
  <c r="T100" i="7"/>
  <c r="U95" i="7"/>
  <c r="U104" i="7"/>
  <c r="W18" i="7"/>
  <c r="U103" i="7"/>
  <c r="V95" i="7"/>
  <c r="S106" i="7"/>
  <c r="S107" i="7" s="1"/>
  <c r="K39" i="6"/>
  <c r="L22" i="6"/>
  <c r="T101" i="7" l="1"/>
  <c r="R13" i="9"/>
  <c r="L107" i="7"/>
  <c r="M28" i="7"/>
  <c r="M100" i="7"/>
  <c r="M33" i="7"/>
  <c r="L106" i="7"/>
  <c r="L34" i="7"/>
  <c r="T107" i="7"/>
  <c r="U98" i="7"/>
  <c r="W27" i="7"/>
  <c r="X27" i="7" s="1"/>
  <c r="Y27" i="7" s="1"/>
  <c r="V96" i="7"/>
  <c r="V98" i="7" s="1"/>
  <c r="U100" i="7"/>
  <c r="V104" i="7"/>
  <c r="V106" i="7" s="1"/>
  <c r="W31" i="7"/>
  <c r="U106" i="7"/>
  <c r="L36" i="6"/>
  <c r="L25" i="6"/>
  <c r="M101" i="7" l="1"/>
  <c r="K13" i="9"/>
  <c r="U101" i="7"/>
  <c r="S13" i="9"/>
  <c r="M106" i="7"/>
  <c r="M107" i="7" s="1"/>
  <c r="M34" i="7"/>
  <c r="V107" i="7"/>
  <c r="U107" i="7"/>
  <c r="V100" i="7"/>
  <c r="W100" i="7"/>
  <c r="W28" i="7"/>
  <c r="W104" i="7"/>
  <c r="W106" i="7" s="1"/>
  <c r="W33" i="7"/>
  <c r="L39" i="6"/>
  <c r="M22" i="6"/>
  <c r="I14" i="10" l="1"/>
  <c r="J14" i="10" s="1"/>
  <c r="U13" i="9"/>
  <c r="V13" i="9" s="1"/>
  <c r="W13" i="9" s="1"/>
  <c r="V101" i="7"/>
  <c r="T13" i="9"/>
  <c r="W107" i="7"/>
  <c r="W34" i="7"/>
  <c r="W101" i="7"/>
  <c r="X101" i="7" s="1"/>
  <c r="Y101" i="7" s="1"/>
  <c r="M25" i="6"/>
  <c r="M39" i="6" s="1"/>
  <c r="M36" i="6"/>
  <c r="AA39" i="11" l="1"/>
  <c r="AA41" i="11" s="1"/>
  <c r="S59" i="11" s="1"/>
  <c r="AA10" i="11"/>
  <c r="Z30" i="5"/>
  <c r="W30" i="5"/>
  <c r="V30" i="5"/>
  <c r="Y30" i="5" s="1"/>
  <c r="V28" i="5"/>
  <c r="W28" i="5" s="1"/>
  <c r="Z28" i="5"/>
  <c r="X28" i="5"/>
  <c r="X23" i="5"/>
  <c r="Z22" i="5"/>
  <c r="X22" i="5"/>
  <c r="V14" i="5"/>
  <c r="N25" i="5"/>
  <c r="M25" i="5"/>
  <c r="L25" i="5"/>
  <c r="K25" i="5"/>
  <c r="J25" i="5"/>
  <c r="I25" i="5"/>
  <c r="O23" i="5"/>
  <c r="N23" i="5"/>
  <c r="M23" i="5"/>
  <c r="L23" i="5"/>
  <c r="K23" i="5"/>
  <c r="J23" i="5"/>
  <c r="I23" i="5"/>
  <c r="N20" i="5"/>
  <c r="N26" i="5" s="1"/>
  <c r="M20" i="5"/>
  <c r="M26" i="5" s="1"/>
  <c r="L20" i="5"/>
  <c r="L26" i="5" s="1"/>
  <c r="K20" i="5"/>
  <c r="K26" i="5" s="1"/>
  <c r="J20" i="5"/>
  <c r="J26" i="5" s="1"/>
  <c r="I20" i="5"/>
  <c r="X30" i="5" l="1"/>
  <c r="I26" i="5"/>
  <c r="Y28" i="5"/>
  <c r="X31" i="1" l="1"/>
  <c r="Z31" i="1" s="1"/>
  <c r="I34" i="1"/>
  <c r="I31" i="1"/>
  <c r="I17" i="1"/>
  <c r="I14" i="1"/>
  <c r="V85" i="3"/>
  <c r="Q90" i="3" s="1"/>
  <c r="K50" i="1" s="1"/>
  <c r="K82" i="3"/>
  <c r="L85" i="3" s="1"/>
  <c r="Q73" i="3"/>
  <c r="J71" i="3"/>
  <c r="J67" i="3"/>
  <c r="T65" i="3"/>
  <c r="T64" i="3"/>
  <c r="J63" i="3"/>
  <c r="M58" i="3"/>
  <c r="J58" i="3"/>
  <c r="T56" i="3"/>
  <c r="V56" i="3" s="1"/>
  <c r="N56" i="3"/>
  <c r="M56" i="3"/>
  <c r="J56" i="3"/>
  <c r="X55" i="3"/>
  <c r="V55" i="3"/>
  <c r="R55" i="3"/>
  <c r="P55" i="3"/>
  <c r="M55" i="3"/>
  <c r="J55" i="3"/>
  <c r="V54" i="3"/>
  <c r="X54" i="3" s="1"/>
  <c r="R54" i="3"/>
  <c r="P54" i="3"/>
  <c r="M54" i="3"/>
  <c r="J54" i="3"/>
  <c r="M51" i="3"/>
  <c r="J51" i="3"/>
  <c r="X50" i="3"/>
  <c r="V50" i="3"/>
  <c r="R50" i="3"/>
  <c r="P50" i="3"/>
  <c r="M50" i="3"/>
  <c r="J50" i="3"/>
  <c r="X48" i="3"/>
  <c r="V48" i="3"/>
  <c r="R48" i="3"/>
  <c r="P48" i="3"/>
  <c r="M48" i="3"/>
  <c r="J48" i="3"/>
  <c r="M45" i="3"/>
  <c r="J45" i="3"/>
  <c r="V44" i="3"/>
  <c r="X44" i="3" s="1"/>
  <c r="R44" i="3"/>
  <c r="P44" i="3"/>
  <c r="M44" i="3"/>
  <c r="J44" i="3"/>
  <c r="X42" i="3"/>
  <c r="V42" i="3"/>
  <c r="R42" i="3"/>
  <c r="P42" i="3"/>
  <c r="M42" i="3"/>
  <c r="J42" i="3"/>
  <c r="M39" i="3"/>
  <c r="J39" i="3"/>
  <c r="T38" i="3"/>
  <c r="N38" i="3"/>
  <c r="M38" i="3"/>
  <c r="J38" i="3"/>
  <c r="V37" i="3"/>
  <c r="X37" i="3" s="1"/>
  <c r="R37" i="3"/>
  <c r="P37" i="3"/>
  <c r="M37" i="3"/>
  <c r="J37" i="3"/>
  <c r="V36" i="3"/>
  <c r="X36" i="3" s="1"/>
  <c r="R36" i="3"/>
  <c r="P36" i="3"/>
  <c r="M36" i="3"/>
  <c r="J36" i="3"/>
  <c r="V35" i="3"/>
  <c r="X35" i="3" s="1"/>
  <c r="R35" i="3"/>
  <c r="P35" i="3"/>
  <c r="M35" i="3"/>
  <c r="J35" i="3"/>
  <c r="X34" i="3"/>
  <c r="V34" i="3"/>
  <c r="R34" i="3"/>
  <c r="P34" i="3"/>
  <c r="M34" i="3"/>
  <c r="J34" i="3"/>
  <c r="V33" i="3"/>
  <c r="X33" i="3" s="1"/>
  <c r="R33" i="3"/>
  <c r="P33" i="3"/>
  <c r="M33" i="3"/>
  <c r="J33" i="3"/>
  <c r="X32" i="3"/>
  <c r="V32" i="3"/>
  <c r="R32" i="3"/>
  <c r="P32" i="3"/>
  <c r="M32" i="3"/>
  <c r="J32" i="3"/>
  <c r="V31" i="3"/>
  <c r="X31" i="3" s="1"/>
  <c r="R31" i="3"/>
  <c r="P31" i="3"/>
  <c r="M31" i="3"/>
  <c r="J31" i="3"/>
  <c r="X30" i="3"/>
  <c r="V30" i="3"/>
  <c r="R30" i="3"/>
  <c r="P30" i="3"/>
  <c r="M30" i="3"/>
  <c r="J30" i="3"/>
  <c r="V29" i="3"/>
  <c r="X29" i="3" s="1"/>
  <c r="R29" i="3"/>
  <c r="P29" i="3"/>
  <c r="M29" i="3"/>
  <c r="J29" i="3"/>
  <c r="V28" i="3"/>
  <c r="X28" i="3" s="1"/>
  <c r="R28" i="3"/>
  <c r="P28" i="3"/>
  <c r="M28" i="3"/>
  <c r="J28" i="3"/>
  <c r="V27" i="3"/>
  <c r="X27" i="3" s="1"/>
  <c r="R27" i="3"/>
  <c r="P27" i="3"/>
  <c r="M27" i="3"/>
  <c r="J27" i="3"/>
  <c r="X26" i="3"/>
  <c r="V26" i="3"/>
  <c r="R26" i="3"/>
  <c r="P26" i="3"/>
  <c r="M26" i="3"/>
  <c r="J26" i="3"/>
  <c r="V25" i="3"/>
  <c r="X25" i="3" s="1"/>
  <c r="R25" i="3"/>
  <c r="P25" i="3"/>
  <c r="M25" i="3"/>
  <c r="J25" i="3"/>
  <c r="V24" i="3"/>
  <c r="X24" i="3" s="1"/>
  <c r="R24" i="3"/>
  <c r="P24" i="3"/>
  <c r="P38" i="3" s="1"/>
  <c r="M24" i="3"/>
  <c r="J24" i="3"/>
  <c r="M21" i="3"/>
  <c r="J21" i="3"/>
  <c r="N20" i="3"/>
  <c r="N21" i="3" s="1"/>
  <c r="M20" i="3"/>
  <c r="J20" i="3"/>
  <c r="X19" i="3"/>
  <c r="V19" i="3"/>
  <c r="R19" i="3"/>
  <c r="P19" i="3"/>
  <c r="M19" i="3"/>
  <c r="J19" i="3"/>
  <c r="T18" i="3"/>
  <c r="V18" i="3" s="1"/>
  <c r="N18" i="3"/>
  <c r="M18" i="3"/>
  <c r="J18" i="3"/>
  <c r="V17" i="3"/>
  <c r="X17" i="3" s="1"/>
  <c r="R17" i="3"/>
  <c r="P17" i="3"/>
  <c r="M17" i="3"/>
  <c r="J17" i="3"/>
  <c r="X16" i="3"/>
  <c r="V16" i="3"/>
  <c r="R16" i="3"/>
  <c r="P16" i="3"/>
  <c r="P18" i="3" s="1"/>
  <c r="P20" i="3" s="1"/>
  <c r="M16" i="3"/>
  <c r="J16" i="3"/>
  <c r="V14" i="3"/>
  <c r="X14" i="3" s="1"/>
  <c r="X13" i="3"/>
  <c r="V13" i="3"/>
  <c r="V11" i="3"/>
  <c r="X11" i="3" s="1"/>
  <c r="R11" i="3"/>
  <c r="P11" i="3"/>
  <c r="M11" i="3"/>
  <c r="J11" i="3"/>
  <c r="K87" i="3" l="1"/>
  <c r="U87" i="3" s="1"/>
  <c r="U90" i="3" s="1"/>
  <c r="K48" i="1" s="1"/>
  <c r="R18" i="3"/>
  <c r="R20" i="3" s="1"/>
  <c r="R67" i="3" s="1"/>
  <c r="J74" i="3" s="1"/>
  <c r="R38" i="3"/>
  <c r="V38" i="3"/>
  <c r="Y31" i="1"/>
  <c r="I49" i="1"/>
  <c r="I48" i="1"/>
  <c r="I50" i="1" s="1"/>
  <c r="N39" i="3"/>
  <c r="N22" i="3"/>
  <c r="P63" i="3"/>
  <c r="X38" i="3"/>
  <c r="K93" i="3"/>
  <c r="K49" i="1" s="1"/>
  <c r="V67" i="3"/>
  <c r="X67" i="3" s="1"/>
  <c r="X18" i="3"/>
  <c r="T20" i="3"/>
  <c r="X56" i="3"/>
  <c r="T21" i="3" l="1"/>
  <c r="V20" i="3"/>
  <c r="X20" i="3" s="1"/>
  <c r="P64" i="3"/>
  <c r="V63" i="3"/>
  <c r="X63" i="3" s="1"/>
  <c r="N40" i="3"/>
  <c r="N45" i="3"/>
  <c r="J72" i="3" l="1"/>
  <c r="J73" i="3" s="1"/>
  <c r="P65" i="3"/>
  <c r="X65" i="3" s="1"/>
  <c r="X64" i="3"/>
  <c r="T22" i="3"/>
  <c r="X22" i="3" s="1"/>
  <c r="T39" i="3"/>
  <c r="V21" i="3"/>
  <c r="X21" i="3" s="1"/>
  <c r="N46" i="3"/>
  <c r="N51" i="3"/>
  <c r="N58" i="3" l="1"/>
  <c r="N52" i="3"/>
  <c r="T40" i="3"/>
  <c r="X40" i="3" s="1"/>
  <c r="T45" i="3"/>
  <c r="V39" i="3"/>
  <c r="X39" i="3" s="1"/>
  <c r="T46" i="3" l="1"/>
  <c r="X46" i="3" s="1"/>
  <c r="T51" i="3"/>
  <c r="V45" i="3"/>
  <c r="X45" i="3" s="1"/>
  <c r="N59" i="3"/>
  <c r="T58" i="3" l="1"/>
  <c r="T52" i="3"/>
  <c r="X52" i="3" s="1"/>
  <c r="V51" i="3"/>
  <c r="X51" i="3" s="1"/>
  <c r="T59" i="3" l="1"/>
  <c r="X59" i="3" s="1"/>
  <c r="V58" i="3"/>
  <c r="X58" i="3" s="1"/>
  <c r="T25" i="5"/>
  <c r="S25" i="5"/>
  <c r="R25" i="5"/>
  <c r="Q25" i="5"/>
  <c r="P25" i="5"/>
  <c r="O25" i="5"/>
  <c r="H25" i="5"/>
  <c r="G25" i="5"/>
  <c r="T23" i="5"/>
  <c r="S23" i="5"/>
  <c r="R23" i="5"/>
  <c r="Q23" i="5"/>
  <c r="P23" i="5"/>
  <c r="H23" i="5"/>
  <c r="Z23" i="5" s="1"/>
  <c r="G23" i="5"/>
  <c r="U22" i="5"/>
  <c r="V22" i="5" s="1"/>
  <c r="T20" i="5"/>
  <c r="T26" i="5" s="1"/>
  <c r="S20" i="5"/>
  <c r="S26" i="5" s="1"/>
  <c r="R20" i="5"/>
  <c r="R26" i="5" s="1"/>
  <c r="Q20" i="5"/>
  <c r="Q26" i="5" s="1"/>
  <c r="P20" i="5"/>
  <c r="P26" i="5" s="1"/>
  <c r="O20" i="5"/>
  <c r="O26" i="5" s="1"/>
  <c r="H20" i="5"/>
  <c r="G20" i="5"/>
  <c r="G26" i="5" s="1"/>
  <c r="U19" i="5"/>
  <c r="V19" i="5" s="1"/>
  <c r="G17" i="5"/>
  <c r="G16" i="5"/>
  <c r="K54" i="2"/>
  <c r="J54" i="2"/>
  <c r="I54" i="2"/>
  <c r="N48" i="2"/>
  <c r="M48" i="2"/>
  <c r="L48" i="2"/>
  <c r="K48" i="2"/>
  <c r="J48" i="2"/>
  <c r="J52" i="2" s="1"/>
  <c r="I48" i="2"/>
  <c r="P34" i="2"/>
  <c r="Q34" i="2" s="1"/>
  <c r="N34" i="2"/>
  <c r="M34" i="2"/>
  <c r="L34" i="2"/>
  <c r="K32" i="2"/>
  <c r="J32" i="2"/>
  <c r="I32" i="2"/>
  <c r="I32" i="1" s="1"/>
  <c r="P31" i="2"/>
  <c r="Q31" i="2" s="1"/>
  <c r="O31" i="2"/>
  <c r="R31" i="2" s="1"/>
  <c r="S31" i="2" s="1"/>
  <c r="X23" i="2"/>
  <c r="P17" i="2"/>
  <c r="Q17" i="2" s="1"/>
  <c r="N17" i="2"/>
  <c r="N54" i="2" s="1"/>
  <c r="M17" i="2"/>
  <c r="L17" i="2"/>
  <c r="L54" i="2" s="1"/>
  <c r="L52" i="2" s="1"/>
  <c r="K15" i="2"/>
  <c r="J15" i="2"/>
  <c r="I15" i="2"/>
  <c r="R14" i="2"/>
  <c r="S14" i="2" s="1"/>
  <c r="P14" i="2"/>
  <c r="Q14" i="2" s="1"/>
  <c r="O14" i="2"/>
  <c r="J14" i="1" s="1"/>
  <c r="X6" i="2"/>
  <c r="O34" i="2" l="1"/>
  <c r="X19" i="5"/>
  <c r="W19" i="5"/>
  <c r="Y19" i="5"/>
  <c r="Z19" i="5" s="1"/>
  <c r="Y22" i="5"/>
  <c r="W22" i="5"/>
  <c r="P15" i="2"/>
  <c r="Q15" i="2" s="1"/>
  <c r="I15" i="1"/>
  <c r="M54" i="2"/>
  <c r="O32" i="2"/>
  <c r="J31" i="1"/>
  <c r="AA31" i="1" s="1"/>
  <c r="AB31" i="1" s="1"/>
  <c r="K52" i="2"/>
  <c r="N52" i="2"/>
  <c r="U25" i="5"/>
  <c r="U23" i="5"/>
  <c r="V23" i="5" s="1"/>
  <c r="U20" i="5"/>
  <c r="V20" i="5" s="1"/>
  <c r="G32" i="5"/>
  <c r="U26" i="5"/>
  <c r="H26" i="5"/>
  <c r="O54" i="2"/>
  <c r="R54" i="2" s="1"/>
  <c r="S54" i="2" s="1"/>
  <c r="M52" i="2"/>
  <c r="I52" i="2"/>
  <c r="O48" i="2"/>
  <c r="P32" i="2"/>
  <c r="Q32" i="2" s="1"/>
  <c r="O17" i="2"/>
  <c r="Y23" i="5" l="1"/>
  <c r="W23" i="5"/>
  <c r="R32" i="2"/>
  <c r="S32" i="2" s="1"/>
  <c r="J32" i="1"/>
  <c r="J48" i="1"/>
  <c r="R17" i="2"/>
  <c r="S17" i="2" s="1"/>
  <c r="J14" i="7"/>
  <c r="J17" i="1"/>
  <c r="R34" i="2"/>
  <c r="S34" i="2" s="1"/>
  <c r="J49" i="7"/>
  <c r="J34" i="1"/>
  <c r="Y20" i="5"/>
  <c r="Z20" i="5" s="1"/>
  <c r="W20" i="5"/>
  <c r="X20" i="5"/>
  <c r="V25" i="5"/>
  <c r="V26" i="5"/>
  <c r="H14" i="5"/>
  <c r="O52" i="2"/>
  <c r="R52" i="2" s="1"/>
  <c r="S52" i="2" s="1"/>
  <c r="R48" i="2"/>
  <c r="S48" i="2" s="1"/>
  <c r="P54" i="2"/>
  <c r="Q54" i="2" s="1"/>
  <c r="O15" i="2"/>
  <c r="P52" i="2"/>
  <c r="Q52" i="2"/>
  <c r="P48" i="2"/>
  <c r="Q48" i="2" s="1"/>
  <c r="J49" i="1" l="1"/>
  <c r="J50" i="7"/>
  <c r="X50" i="7" s="1"/>
  <c r="Y50" i="7" s="1"/>
  <c r="X49" i="7"/>
  <c r="Y49" i="7" s="1"/>
  <c r="X14" i="7"/>
  <c r="Y14" i="7" s="1"/>
  <c r="J87" i="7"/>
  <c r="J15" i="7"/>
  <c r="J16" i="7"/>
  <c r="R15" i="2"/>
  <c r="S15" i="2" s="1"/>
  <c r="J15" i="1"/>
  <c r="Z14" i="5"/>
  <c r="H32" i="5"/>
  <c r="I14" i="5" s="1"/>
  <c r="Y14" i="5"/>
  <c r="J50" i="1"/>
  <c r="W25" i="5"/>
  <c r="X25" i="5"/>
  <c r="Y25" i="5"/>
  <c r="Z25" i="5" s="1"/>
  <c r="Y26" i="5"/>
  <c r="Z26" i="5" s="1"/>
  <c r="W26" i="5"/>
  <c r="X26" i="5"/>
  <c r="X87" i="7" l="1"/>
  <c r="Y87" i="7" s="1"/>
  <c r="W14" i="5"/>
  <c r="X14" i="5"/>
  <c r="J17" i="7"/>
  <c r="J19" i="7"/>
  <c r="X15" i="7"/>
  <c r="Y15" i="7" s="1"/>
  <c r="J88" i="7"/>
  <c r="X88" i="7" s="1"/>
  <c r="Y88" i="7" s="1"/>
  <c r="J51" i="7"/>
  <c r="AA23" i="1"/>
  <c r="W48" i="1"/>
  <c r="V48" i="1"/>
  <c r="U48" i="1"/>
  <c r="T48" i="1"/>
  <c r="S48" i="1"/>
  <c r="R48" i="1"/>
  <c r="R50" i="1" s="1"/>
  <c r="Q48" i="1"/>
  <c r="Q50" i="1" s="1"/>
  <c r="P48" i="1"/>
  <c r="O48" i="1"/>
  <c r="N48" i="1"/>
  <c r="N50" i="1" s="1"/>
  <c r="M48" i="1"/>
  <c r="L48" i="1"/>
  <c r="W34" i="1"/>
  <c r="V34" i="1"/>
  <c r="U34" i="1"/>
  <c r="T34" i="1"/>
  <c r="T49" i="1" s="1"/>
  <c r="R16" i="5" s="1"/>
  <c r="R17" i="5" s="1"/>
  <c r="S34" i="1"/>
  <c r="R34" i="1"/>
  <c r="Q34" i="1"/>
  <c r="P34" i="1"/>
  <c r="P49" i="1" s="1"/>
  <c r="N16" i="5" s="1"/>
  <c r="N17" i="5" s="1"/>
  <c r="O34" i="1"/>
  <c r="N34" i="1"/>
  <c r="M34" i="1"/>
  <c r="L34" i="1"/>
  <c r="K34" i="1"/>
  <c r="T17" i="1"/>
  <c r="S17" i="1"/>
  <c r="S49" i="1" s="1"/>
  <c r="Q16" i="5" s="1"/>
  <c r="Q17" i="5" s="1"/>
  <c r="R17" i="1"/>
  <c r="R49" i="1" s="1"/>
  <c r="P16" i="5" s="1"/>
  <c r="P17" i="5" s="1"/>
  <c r="Q17" i="1"/>
  <c r="Q49" i="1" s="1"/>
  <c r="O16" i="5" s="1"/>
  <c r="O17" i="5" s="1"/>
  <c r="P17" i="1"/>
  <c r="O17" i="1"/>
  <c r="O49" i="1" s="1"/>
  <c r="M16" i="5" s="1"/>
  <c r="M17" i="5" s="1"/>
  <c r="N17" i="1"/>
  <c r="N49" i="1" s="1"/>
  <c r="L16" i="5" s="1"/>
  <c r="L17" i="5" s="1"/>
  <c r="M17" i="1"/>
  <c r="M49" i="1" s="1"/>
  <c r="K16" i="5" s="1"/>
  <c r="K17" i="5" s="1"/>
  <c r="L17" i="1"/>
  <c r="K17" i="1"/>
  <c r="M50" i="1" l="1"/>
  <c r="S50" i="1"/>
  <c r="P50" i="1"/>
  <c r="T50" i="1"/>
  <c r="X48" i="1"/>
  <c r="O50" i="1"/>
  <c r="J89" i="7"/>
  <c r="X34" i="1"/>
  <c r="L49" i="1"/>
  <c r="J16" i="5" s="1"/>
  <c r="J17" i="5" s="1"/>
  <c r="J54" i="7"/>
  <c r="J52" i="7"/>
  <c r="J33" i="7"/>
  <c r="J34" i="7" s="1"/>
  <c r="J18" i="7"/>
  <c r="X17" i="7"/>
  <c r="Y17" i="7"/>
  <c r="J32" i="5" l="1"/>
  <c r="K14" i="5" s="1"/>
  <c r="K32" i="5" s="1"/>
  <c r="L14" i="5" s="1"/>
  <c r="L32" i="5" s="1"/>
  <c r="M14" i="5" s="1"/>
  <c r="M32" i="5" s="1"/>
  <c r="N14" i="5" s="1"/>
  <c r="N32" i="5" s="1"/>
  <c r="O14" i="5" s="1"/>
  <c r="O32" i="5" s="1"/>
  <c r="P14" i="5" s="1"/>
  <c r="P32" i="5" s="1"/>
  <c r="Q14" i="5" s="1"/>
  <c r="Q32" i="5" s="1"/>
  <c r="R14" i="5" s="1"/>
  <c r="R32" i="5" s="1"/>
  <c r="S14" i="5" s="1"/>
  <c r="J92" i="7"/>
  <c r="J90" i="7"/>
  <c r="J106" i="7"/>
  <c r="X106" i="7" s="1"/>
  <c r="Y106" i="7" s="1"/>
  <c r="X33" i="7"/>
  <c r="Y33" i="7"/>
  <c r="J68" i="7"/>
  <c r="X68" i="7" s="1"/>
  <c r="Y68" i="7" s="1"/>
  <c r="J53" i="7"/>
  <c r="X52" i="7"/>
  <c r="J69" i="7"/>
  <c r="Y52" i="7"/>
  <c r="I12" i="4"/>
  <c r="Z48" i="1"/>
  <c r="Y48" i="1"/>
  <c r="AA48" i="1"/>
  <c r="AB48" i="1" s="1"/>
  <c r="L50" i="1"/>
  <c r="X34" i="7"/>
  <c r="Z34" i="1"/>
  <c r="X32" i="1"/>
  <c r="AA34" i="1"/>
  <c r="AB34" i="1" s="1"/>
  <c r="Y34" i="1"/>
  <c r="Z32" i="1" l="1"/>
  <c r="Y32" i="1"/>
  <c r="AA32" i="1"/>
  <c r="AB32" i="1" s="1"/>
  <c r="X90" i="7"/>
  <c r="J91" i="7"/>
  <c r="J100" i="7"/>
  <c r="J107" i="7"/>
  <c r="X69" i="7"/>
  <c r="W17" i="1"/>
  <c r="W49" i="1" s="1"/>
  <c r="V17" i="1"/>
  <c r="V49" i="1" s="1"/>
  <c r="U17" i="1"/>
  <c r="U49" i="1" s="1"/>
  <c r="X14" i="1"/>
  <c r="AA6" i="1"/>
  <c r="S16" i="5" l="1"/>
  <c r="S17" i="5" s="1"/>
  <c r="X49" i="1"/>
  <c r="U50" i="1"/>
  <c r="Z14" i="1"/>
  <c r="Y14" i="1"/>
  <c r="AA14" i="1"/>
  <c r="AB14" i="1" s="1"/>
  <c r="Y90" i="7"/>
  <c r="T16" i="5"/>
  <c r="T17" i="5" s="1"/>
  <c r="V50" i="1"/>
  <c r="J101" i="7"/>
  <c r="X100" i="7"/>
  <c r="Y100" i="7" s="1"/>
  <c r="U16" i="5"/>
  <c r="U17" i="5" s="1"/>
  <c r="W50" i="1"/>
  <c r="X17" i="1"/>
  <c r="AA17" i="1" l="1"/>
  <c r="AB17" i="1" s="1"/>
  <c r="Y17" i="1"/>
  <c r="Z17" i="1"/>
  <c r="X107" i="7"/>
  <c r="I13" i="4"/>
  <c r="Y49" i="1"/>
  <c r="Z49" i="1"/>
  <c r="AA49" i="1"/>
  <c r="AB49" i="1" s="1"/>
  <c r="X50" i="1"/>
  <c r="V17" i="5"/>
  <c r="S32" i="5"/>
  <c r="T14" i="5" s="1"/>
  <c r="T32" i="5" s="1"/>
  <c r="U14" i="5" s="1"/>
  <c r="U32" i="5" s="1"/>
  <c r="X15" i="1"/>
  <c r="V16" i="5"/>
  <c r="Z15" i="1" l="1"/>
  <c r="Y15" i="1"/>
  <c r="AA15" i="1"/>
  <c r="AB15" i="1" s="1"/>
  <c r="N12" i="11"/>
  <c r="Y17" i="5"/>
  <c r="Z17" i="5" s="1"/>
  <c r="V32" i="5"/>
  <c r="AA50" i="1"/>
  <c r="AB50" i="1" s="1"/>
  <c r="Y50" i="1"/>
  <c r="Z50" i="1"/>
  <c r="I16" i="5"/>
  <c r="I17" i="5" s="1"/>
  <c r="N10" i="11"/>
  <c r="N15" i="11" s="1"/>
  <c r="AA15" i="11" s="1"/>
  <c r="AA12" i="11" s="1"/>
  <c r="S28" i="11" s="1"/>
  <c r="Y16" i="5"/>
  <c r="Z16" i="5" s="1"/>
  <c r="X17" i="5" l="1"/>
  <c r="I32" i="5"/>
  <c r="X32" i="5" s="1"/>
  <c r="W16" i="5"/>
  <c r="W17" i="5"/>
  <c r="X16" i="5"/>
  <c r="Y32" i="5"/>
  <c r="Z32" i="5" s="1"/>
  <c r="W32" i="5" l="1"/>
</calcChain>
</file>

<file path=xl/comments1.xml><?xml version="1.0" encoding="utf-8"?>
<comments xmlns="http://schemas.openxmlformats.org/spreadsheetml/2006/main">
  <authors>
    <author>kobama</author>
  </authors>
  <commentList>
    <comment ref="I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1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O5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</commentList>
</comments>
</file>

<file path=xl/comments2.xml><?xml version="1.0" encoding="utf-8"?>
<comments xmlns="http://schemas.openxmlformats.org/spreadsheetml/2006/main">
  <authors>
    <author>kobama</author>
  </authors>
  <commentList>
    <comment ref="H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3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4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5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2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0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1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2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7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8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H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I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J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K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L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M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  <comment ref="N39" authorId="0">
      <text>
        <r>
          <rPr>
            <b/>
            <sz val="9"/>
            <color indexed="81"/>
            <rFont val="ＭＳ Ｐゴシック"/>
            <family val="3"/>
            <charset val="128"/>
          </rPr>
          <t>kobama:自動計算</t>
        </r>
      </text>
    </comment>
  </commentList>
</comments>
</file>

<file path=xl/sharedStrings.xml><?xml version="1.0" encoding="utf-8"?>
<sst xmlns="http://schemas.openxmlformats.org/spreadsheetml/2006/main" count="2479" uniqueCount="642">
  <si>
    <t>担当者</t>
    <phoneticPr fontId="2"/>
  </si>
  <si>
    <t>田辺雄一</t>
    <phoneticPr fontId="2"/>
  </si>
  <si>
    <t>日付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</si>
  <si>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</si>
  <si>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</si>
  <si>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</si>
  <si>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</si>
  <si>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</si>
  <si>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</si>
  <si>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</si>
  <si>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</si>
  <si>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</si>
  <si>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</si>
  <si>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</si>
  <si>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</si>
  <si>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</si>
  <si>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</si>
  <si>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</si>
  <si>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</si>
  <si>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</si>
  <si>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</si>
  <si>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×1年</t>
    <phoneticPr fontId="2"/>
  </si>
  <si>
    <t>予算
達成率</t>
    <phoneticPr fontId="2"/>
  </si>
  <si>
    <t>1月</t>
    <phoneticPr fontId="2"/>
  </si>
  <si>
    <t>2月</t>
    <phoneticPr fontId="2"/>
  </si>
  <si>
    <t>3月</t>
    <phoneticPr fontId="2"/>
  </si>
  <si>
    <t>➀</t>
    <phoneticPr fontId="2"/>
  </si>
  <si>
    <t>③</t>
    <phoneticPr fontId="2"/>
  </si>
  <si>
    <t>Ａ</t>
    <phoneticPr fontId="2"/>
  </si>
  <si>
    <t>ﾌﾙ</t>
    <phoneticPr fontId="2"/>
  </si>
  <si>
    <t>Ｂ</t>
    <phoneticPr fontId="2"/>
  </si>
  <si>
    <t>Ｃ</t>
    <phoneticPr fontId="2"/>
  </si>
  <si>
    <t>端数調整</t>
    <phoneticPr fontId="2"/>
  </si>
  <si>
    <t>D</t>
    <phoneticPr fontId="2"/>
  </si>
  <si>
    <t>書籍P29・P31</t>
    <phoneticPr fontId="2"/>
  </si>
  <si>
    <t>演習問題第5回</t>
    <phoneticPr fontId="2"/>
  </si>
  <si>
    <t>4月</t>
    <phoneticPr fontId="2"/>
  </si>
  <si>
    <t>目標予算</t>
    <phoneticPr fontId="2"/>
  </si>
  <si>
    <t>×2年</t>
    <phoneticPr fontId="2"/>
  </si>
  <si>
    <t>次年度
目標予算</t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</si>
  <si>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</si>
  <si>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</si>
  <si>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</si>
  <si>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</si>
  <si>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</si>
  <si>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</si>
  <si>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</si>
  <si>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</si>
  <si>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当年度
実績予想
差異</t>
    <phoneticPr fontId="2"/>
  </si>
  <si>
    <t>当年度</t>
    <phoneticPr fontId="2"/>
  </si>
  <si>
    <t>着地予想</t>
    <phoneticPr fontId="2"/>
  </si>
  <si>
    <t>（担当者）</t>
    <phoneticPr fontId="2"/>
  </si>
  <si>
    <t>➁</t>
    <phoneticPr fontId="2"/>
  </si>
  <si>
    <t>④</t>
    <phoneticPr fontId="2"/>
  </si>
  <si>
    <t>⑤</t>
    <phoneticPr fontId="2"/>
  </si>
  <si>
    <t>➅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</si>
  <si>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</si>
  <si>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</si>
  <si>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</si>
  <si>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</si>
  <si>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</si>
  <si>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</si>
  <si>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</si>
  <si>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</si>
  <si>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</si>
  <si>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④～⑮計
＝⑯</t>
    <phoneticPr fontId="2"/>
  </si>
  <si>
    <t>⑯－③
＝⑰</t>
    <phoneticPr fontId="2"/>
  </si>
  <si>
    <t>次期
目標予算
(担当者）</t>
    <phoneticPr fontId="2"/>
  </si>
  <si>
    <t>次期目標
増減差額</t>
    <phoneticPr fontId="2"/>
  </si>
  <si>
    <t>⑰÷③×100%=⑱</t>
    <phoneticPr fontId="2"/>
  </si>
  <si>
    <t>⑯－➁＝⑲</t>
    <phoneticPr fontId="2"/>
  </si>
  <si>
    <t>⑲÷⑯×100%=⑳</t>
    <phoneticPr fontId="2"/>
  </si>
  <si>
    <t>×1年
1月22日</t>
    <phoneticPr fontId="2"/>
  </si>
  <si>
    <t>×1年
1月21日</t>
    <phoneticPr fontId="2"/>
  </si>
  <si>
    <t>×1年
1月20日</t>
    <phoneticPr fontId="2"/>
  </si>
  <si>
    <t>販売数量</t>
    <phoneticPr fontId="2"/>
  </si>
  <si>
    <t>㎏</t>
    <phoneticPr fontId="2"/>
  </si>
  <si>
    <t>千</t>
    <phoneticPr fontId="2"/>
  </si>
  <si>
    <t>円</t>
    <phoneticPr fontId="2"/>
  </si>
  <si>
    <t>売上高
：Ａ×B＋Ｃ＝D</t>
    <phoneticPr fontId="2"/>
  </si>
  <si>
    <t>貸</t>
    <phoneticPr fontId="2"/>
  </si>
  <si>
    <t>鈴木一也</t>
    <phoneticPr fontId="2"/>
  </si>
  <si>
    <t>相手先</t>
    <phoneticPr fontId="2"/>
  </si>
  <si>
    <t>Ｚ社</t>
    <phoneticPr fontId="2"/>
  </si>
  <si>
    <t>書籍P29・P31</t>
    <phoneticPr fontId="2"/>
  </si>
  <si>
    <t>改訂増補「予算会計」（清文社）</t>
    <phoneticPr fontId="2"/>
  </si>
  <si>
    <t>次期
目標
達成率</t>
    <phoneticPr fontId="2"/>
  </si>
  <si>
    <t>平均販売単価＠</t>
    <phoneticPr fontId="2"/>
  </si>
  <si>
    <t>販売数量合計</t>
    <phoneticPr fontId="2"/>
  </si>
  <si>
    <t xml:space="preserve">売上高合計
</t>
    <phoneticPr fontId="2"/>
  </si>
  <si>
    <t>田辺雄一＋鈴木一也＝全社合計</t>
    <phoneticPr fontId="2"/>
  </si>
  <si>
    <t>Ｗ社＋Ｚ社＝全相手先</t>
    <phoneticPr fontId="2"/>
  </si>
  <si>
    <t>田辺雄一</t>
    <phoneticPr fontId="2"/>
  </si>
  <si>
    <t>×1年
2月10日</t>
    <phoneticPr fontId="2"/>
  </si>
  <si>
    <t>×1年
2月9日</t>
    <phoneticPr fontId="2"/>
  </si>
  <si>
    <t>×1年
2月8日</t>
    <phoneticPr fontId="2"/>
  </si>
  <si>
    <t>NO.３ 次期予算作成：全社販売計画書</t>
    <phoneticPr fontId="2"/>
  </si>
  <si>
    <t>担当者</t>
    <phoneticPr fontId="2"/>
  </si>
  <si>
    <t>田辺雄一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</si>
  <si>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</si>
  <si>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</si>
  <si>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</si>
  <si>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</si>
  <si>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</si>
  <si>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</si>
  <si>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役職</t>
    <phoneticPr fontId="2"/>
  </si>
  <si>
    <t>部長印</t>
    <phoneticPr fontId="2"/>
  </si>
  <si>
    <t>課長印</t>
    <phoneticPr fontId="2"/>
  </si>
  <si>
    <t>書籍P７・P11・P23</t>
    <phoneticPr fontId="2"/>
  </si>
  <si>
    <t>演習問題第１回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</si>
  <si>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</si>
  <si>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</si>
  <si>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</si>
  <si>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</si>
  <si>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</si>
  <si>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</si>
  <si>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</si>
  <si>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</si>
  <si>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</si>
  <si>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</si>
  <si>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</si>
  <si>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</si>
  <si>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</si>
  <si>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当年度
実績予想</t>
    <phoneticPr fontId="2"/>
  </si>
  <si>
    <t>前期比
増減差額</t>
    <phoneticPr fontId="2"/>
  </si>
  <si>
    <t>前期比
増減比率</t>
    <phoneticPr fontId="2"/>
  </si>
  <si>
    <t>当年度
実績予想
差異</t>
    <phoneticPr fontId="2"/>
  </si>
  <si>
    <t>予算
達成率</t>
    <phoneticPr fontId="2"/>
  </si>
  <si>
    <t>予算差異原因・対策・ﾌｨｰﾄﾞﾊﾞｯｸ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</si>
  <si>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</si>
  <si>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</si>
  <si>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</si>
  <si>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</si>
  <si>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実績</t>
    <phoneticPr fontId="2"/>
  </si>
  <si>
    <t>見通し</t>
    <phoneticPr fontId="2"/>
  </si>
  <si>
    <t>➀</t>
    <phoneticPr fontId="2"/>
  </si>
  <si>
    <t>➁</t>
    <phoneticPr fontId="2"/>
  </si>
  <si>
    <t>③</t>
    <phoneticPr fontId="2"/>
  </si>
  <si>
    <t>④</t>
    <phoneticPr fontId="2"/>
  </si>
  <si>
    <t>⑤</t>
    <phoneticPr fontId="2"/>
  </si>
  <si>
    <t>➅</t>
    <phoneticPr fontId="2"/>
  </si>
  <si>
    <t>③～➅計
＝⑦</t>
    <phoneticPr fontId="2"/>
  </si>
  <si>
    <t>⑦－➀
＝⑧</t>
    <phoneticPr fontId="2"/>
  </si>
  <si>
    <t>⑧÷➀×100%=⑨</t>
    <phoneticPr fontId="2"/>
  </si>
  <si>
    <t>⑦－➁＝⑩</t>
    <phoneticPr fontId="2"/>
  </si>
  <si>
    <t>⑩÷➁×100%=⑪</t>
    <phoneticPr fontId="2"/>
  </si>
  <si>
    <t>区分</t>
    <phoneticPr fontId="2"/>
  </si>
  <si>
    <t>内容</t>
    <phoneticPr fontId="2"/>
  </si>
  <si>
    <t>対策</t>
    <phoneticPr fontId="2"/>
  </si>
  <si>
    <t>次期予算ﾌｨｰﾄﾞﾊﾞｯｸ</t>
    <phoneticPr fontId="2"/>
  </si>
  <si>
    <t>Ａ</t>
    <phoneticPr fontId="2"/>
  </si>
  <si>
    <t>販売数量</t>
    <phoneticPr fontId="2"/>
  </si>
  <si>
    <t>ﾌﾙ</t>
    <phoneticPr fontId="2"/>
  </si>
  <si>
    <t>㎏</t>
    <phoneticPr fontId="2"/>
  </si>
  <si>
    <t>予算
設定</t>
    <phoneticPr fontId="2"/>
  </si>
  <si>
    <t>戦略欠如</t>
    <phoneticPr fontId="2"/>
  </si>
  <si>
    <t>Ｗ社購買責任者と直接交渉を行なう</t>
    <phoneticPr fontId="2"/>
  </si>
  <si>
    <t>具体的戦略・行動計画を多角的に営業部門全体でつめる</t>
    <phoneticPr fontId="2"/>
  </si>
  <si>
    <t>Ｂ</t>
    <phoneticPr fontId="2"/>
  </si>
  <si>
    <t>販売単価</t>
    <phoneticPr fontId="2"/>
  </si>
  <si>
    <t>千</t>
    <phoneticPr fontId="2"/>
  </si>
  <si>
    <t>円</t>
    <phoneticPr fontId="2"/>
  </si>
  <si>
    <t>価格競争が
激しい為</t>
    <phoneticPr fontId="2"/>
  </si>
  <si>
    <t>安易な値引きに応じるのではなく、アフターフーサビス等の差別化戦略をとる</t>
    <phoneticPr fontId="2"/>
  </si>
  <si>
    <t>予算価格は保守的に設定し、販売数量でリカバリーするように計画を立てる</t>
    <phoneticPr fontId="2"/>
  </si>
  <si>
    <t>Ｃ</t>
    <phoneticPr fontId="2"/>
  </si>
  <si>
    <t>端数調整</t>
    <phoneticPr fontId="2"/>
  </si>
  <si>
    <t>D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</si>
  <si>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：Ａ×B＋Ｃ＝D</t>
    </r>
    <phoneticPr fontId="2"/>
  </si>
  <si>
    <t>貸</t>
    <phoneticPr fontId="2"/>
  </si>
  <si>
    <t>同上</t>
    <phoneticPr fontId="2"/>
  </si>
  <si>
    <t>鈴木一也</t>
    <phoneticPr fontId="2"/>
  </si>
  <si>
    <t>Ｚ社</t>
    <phoneticPr fontId="2"/>
  </si>
  <si>
    <t>③～➅計＝⑦</t>
    <phoneticPr fontId="2"/>
  </si>
  <si>
    <t>3月納品150㎏受注予定分についてＺ社の購買部よりキャンセルが生じている。</t>
    <phoneticPr fontId="2"/>
  </si>
  <si>
    <t>Ｚ社購買責任者と直接交渉を行ない、キャンセル分の対応について協議する</t>
    <phoneticPr fontId="2"/>
  </si>
  <si>
    <t>キャンセル分について今期納品が難しい場合は次期納品でＺ社購買部と調整する。</t>
    <phoneticPr fontId="2"/>
  </si>
  <si>
    <t>田辺雄一＋鈴木一也＝全社合計</t>
    <phoneticPr fontId="2"/>
  </si>
  <si>
    <t>Ｗ社＋Ｚ社＝全相手先</t>
    <phoneticPr fontId="2"/>
  </si>
  <si>
    <t>前年度
実績
（全社）</t>
    <phoneticPr fontId="2"/>
  </si>
  <si>
    <t>当年度
予算
(全社）</t>
    <phoneticPr fontId="2"/>
  </si>
  <si>
    <t>1
2</t>
    <phoneticPr fontId="2"/>
  </si>
  <si>
    <t>予算設定
実績</t>
    <phoneticPr fontId="2"/>
  </si>
  <si>
    <t>具体的戦略欠如
Ｚ社キャンセル</t>
    <phoneticPr fontId="2"/>
  </si>
  <si>
    <t>Ｗ社・Ｚ社の購買責任者と直接交渉を行なう</t>
    <phoneticPr fontId="2"/>
  </si>
  <si>
    <t>↓</t>
    <phoneticPr fontId="2"/>
  </si>
  <si>
    <t>在庫計画書：月次出庫数量</t>
    <phoneticPr fontId="2"/>
  </si>
  <si>
    <t>予算設定</t>
    <phoneticPr fontId="2"/>
  </si>
  <si>
    <t>安易な値引きに応じるのではなく、アフターフォローサビス等の差別化戦略をとってクロージングする</t>
    <phoneticPr fontId="2"/>
  </si>
  <si>
    <t>売上高</t>
    <phoneticPr fontId="2"/>
  </si>
  <si>
    <t>実績予想PＬ</t>
    <phoneticPr fontId="2"/>
  </si>
  <si>
    <t>消費税率</t>
    <phoneticPr fontId="2"/>
  </si>
  <si>
    <t>消費税等予算科目</t>
    <phoneticPr fontId="2"/>
  </si>
  <si>
    <t>課税対象：予算科目</t>
    <phoneticPr fontId="2"/>
  </si>
  <si>
    <t>前月繰越</t>
    <phoneticPr fontId="2"/>
  </si>
  <si>
    <t>売上高</t>
    <phoneticPr fontId="2"/>
  </si>
  <si>
    <t>消費税等額</t>
    <phoneticPr fontId="2"/>
  </si>
  <si>
    <t>Ｄ</t>
    <phoneticPr fontId="2"/>
  </si>
  <si>
    <t>借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</si>
  <si>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</si>
  <si>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</si>
  <si>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</si>
  <si>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</si>
  <si>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</si>
  <si>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消費税等額計</t>
    <phoneticPr fontId="2"/>
  </si>
  <si>
    <t>J</t>
    <phoneticPr fontId="2"/>
  </si>
  <si>
    <t>K</t>
    <phoneticPr fontId="2"/>
  </si>
  <si>
    <t>⑤消費税等の
中間納付</t>
    <phoneticPr fontId="2"/>
  </si>
  <si>
    <t>➅月末（期末）繰越
：未払消費税等</t>
    <phoneticPr fontId="2"/>
  </si>
  <si>
    <t>➀＋➁-③
-④-⑤＝➅</t>
    <phoneticPr fontId="2"/>
  </si>
  <si>
    <t>演習問題第5回</t>
    <phoneticPr fontId="2"/>
  </si>
  <si>
    <t>当期実績予想：予算損益計算書</t>
    <phoneticPr fontId="2"/>
  </si>
  <si>
    <t>書籍P20・21・22・23 参照</t>
    <phoneticPr fontId="2"/>
  </si>
  <si>
    <t>予算会計メルマガ 3cckodama</t>
    <phoneticPr fontId="2"/>
  </si>
  <si>
    <t>NO</t>
    <phoneticPr fontId="2"/>
  </si>
  <si>
    <t>科      目</t>
    <phoneticPr fontId="2"/>
  </si>
  <si>
    <t>貸借</t>
    <phoneticPr fontId="2"/>
  </si>
  <si>
    <t>消費税</t>
    <phoneticPr fontId="2"/>
  </si>
  <si>
    <t>変・固</t>
    <phoneticPr fontId="2"/>
  </si>
  <si>
    <t>当期実績予想金額(千円)</t>
    <phoneticPr fontId="2"/>
  </si>
  <si>
    <t>➁当期
予算額</t>
    <phoneticPr fontId="2"/>
  </si>
  <si>
    <t>③当期
予算差異</t>
    <phoneticPr fontId="2"/>
  </si>
  <si>
    <t>④当期
予算差異率</t>
    <phoneticPr fontId="2"/>
  </si>
  <si>
    <t>分析・
評価</t>
    <phoneticPr fontId="2"/>
  </si>
  <si>
    <t>➀金額</t>
    <phoneticPr fontId="2"/>
  </si>
  <si>
    <t>内訳金額</t>
    <phoneticPr fontId="2"/>
  </si>
  <si>
    <t>変動費</t>
    <phoneticPr fontId="2"/>
  </si>
  <si>
    <t>固定費</t>
    <phoneticPr fontId="2"/>
  </si>
  <si>
    <t>【売上高】</t>
    <phoneticPr fontId="2"/>
  </si>
  <si>
    <t>【構成内訳】</t>
    <phoneticPr fontId="2"/>
  </si>
  <si>
    <t>販売数量㎏</t>
    <phoneticPr fontId="2"/>
  </si>
  <si>
    <t>【売上原価】</t>
    <phoneticPr fontId="2"/>
  </si>
  <si>
    <t>期首商品たな卸高</t>
    <phoneticPr fontId="2"/>
  </si>
  <si>
    <t>当期商品仕入高</t>
    <phoneticPr fontId="2"/>
  </si>
  <si>
    <t>小計</t>
    <phoneticPr fontId="2"/>
  </si>
  <si>
    <t>期末商品たな卸高</t>
    <phoneticPr fontId="2"/>
  </si>
  <si>
    <t>差引売上原価</t>
    <phoneticPr fontId="2"/>
  </si>
  <si>
    <t>売上総利益</t>
    <phoneticPr fontId="2"/>
  </si>
  <si>
    <t>売上総利益率</t>
    <phoneticPr fontId="2"/>
  </si>
  <si>
    <t>【販売費及び一般管理費】</t>
    <phoneticPr fontId="2"/>
  </si>
  <si>
    <t>役員報酬</t>
    <phoneticPr fontId="2"/>
  </si>
  <si>
    <t>給与・賞与</t>
    <phoneticPr fontId="2"/>
  </si>
  <si>
    <t>法定福利費</t>
    <phoneticPr fontId="2"/>
  </si>
  <si>
    <t>販売手数料</t>
    <phoneticPr fontId="2"/>
  </si>
  <si>
    <t>広告宣伝費</t>
    <phoneticPr fontId="2"/>
  </si>
  <si>
    <t>旅費交通費</t>
    <phoneticPr fontId="2"/>
  </si>
  <si>
    <t>水道光熱費</t>
    <phoneticPr fontId="2"/>
  </si>
  <si>
    <t>通信費</t>
    <phoneticPr fontId="2"/>
  </si>
  <si>
    <t>消耗品費</t>
    <phoneticPr fontId="2"/>
  </si>
  <si>
    <t>賃借料</t>
    <phoneticPr fontId="2"/>
  </si>
  <si>
    <t>交際費</t>
    <phoneticPr fontId="2"/>
  </si>
  <si>
    <t>租税公課</t>
    <phoneticPr fontId="2"/>
  </si>
  <si>
    <t>減価償却費</t>
    <phoneticPr fontId="2"/>
  </si>
  <si>
    <t>雑費</t>
    <phoneticPr fontId="2"/>
  </si>
  <si>
    <t>販売費及び一般管理費合計</t>
    <phoneticPr fontId="2"/>
  </si>
  <si>
    <t>営業利益</t>
    <phoneticPr fontId="2"/>
  </si>
  <si>
    <t>営業利益率</t>
    <phoneticPr fontId="2"/>
  </si>
  <si>
    <t>【営業外収益】</t>
    <phoneticPr fontId="2"/>
  </si>
  <si>
    <t>受取利息</t>
    <phoneticPr fontId="2"/>
  </si>
  <si>
    <t>【営業外費用】</t>
    <phoneticPr fontId="2"/>
  </si>
  <si>
    <t>支払利息</t>
    <phoneticPr fontId="2"/>
  </si>
  <si>
    <t>経常利益</t>
    <phoneticPr fontId="2"/>
  </si>
  <si>
    <t>経常利益率</t>
    <phoneticPr fontId="2"/>
  </si>
  <si>
    <t>【特別利益】</t>
    <phoneticPr fontId="2"/>
  </si>
  <si>
    <t>固定資産売却益</t>
    <phoneticPr fontId="2"/>
  </si>
  <si>
    <t>【特別損失】</t>
    <phoneticPr fontId="2"/>
  </si>
  <si>
    <t>固定資産売却損</t>
    <phoneticPr fontId="2"/>
  </si>
  <si>
    <t>税引前当期純利益</t>
    <phoneticPr fontId="2"/>
  </si>
  <si>
    <t>同利益率</t>
    <phoneticPr fontId="2"/>
  </si>
  <si>
    <t>【法人税等】</t>
    <phoneticPr fontId="2"/>
  </si>
  <si>
    <t>法人税、住民税及び事業税</t>
    <phoneticPr fontId="2"/>
  </si>
  <si>
    <t>法人税等調整額</t>
    <phoneticPr fontId="2"/>
  </si>
  <si>
    <t>法人税等等合計</t>
    <phoneticPr fontId="2"/>
  </si>
  <si>
    <t>当期純利益</t>
    <phoneticPr fontId="2"/>
  </si>
  <si>
    <t>【変動費・固定費分析】</t>
    <phoneticPr fontId="2"/>
  </si>
  <si>
    <t>変動費率</t>
    <phoneticPr fontId="2"/>
  </si>
  <si>
    <t>限界利益率</t>
    <phoneticPr fontId="2"/>
  </si>
  <si>
    <t>項　　　　目</t>
    <phoneticPr fontId="2"/>
  </si>
  <si>
    <t>当期実績予想</t>
    <phoneticPr fontId="2"/>
  </si>
  <si>
    <t>次期目標</t>
    <phoneticPr fontId="2"/>
  </si>
  <si>
    <t>根拠等</t>
    <phoneticPr fontId="2"/>
  </si>
  <si>
    <t>千円</t>
    <phoneticPr fontId="2"/>
  </si>
  <si>
    <t>➄</t>
    <phoneticPr fontId="2"/>
  </si>
  <si>
    <t>価格競争より10％低下予測</t>
    <phoneticPr fontId="2"/>
  </si>
  <si>
    <t>変動費率10%引き下げ可能</t>
    <phoneticPr fontId="2"/>
  </si>
  <si>
    <t>同上</t>
    <phoneticPr fontId="2"/>
  </si>
  <si>
    <t>7,200千円削減可能</t>
    <phoneticPr fontId="2"/>
  </si>
  <si>
    <t>目標利益</t>
    <phoneticPr fontId="2"/>
  </si>
  <si>
    <t>目標利益計画表より</t>
    <phoneticPr fontId="2"/>
  </si>
  <si>
    <t>調整前目標売上高</t>
    <phoneticPr fontId="2"/>
  </si>
  <si>
    <t>＝</t>
    <phoneticPr fontId="2"/>
  </si>
  <si>
    <t>（目標利益➀＋目標固定費➁）÷③目標限界利益率</t>
    <phoneticPr fontId="2"/>
  </si>
  <si>
    <t>目標販売数量</t>
    <phoneticPr fontId="2"/>
  </si>
  <si>
    <t>÷目標販売単価➄</t>
  </si>
  <si>
    <t>→１桁目切り上げ</t>
    <phoneticPr fontId="2"/>
  </si>
  <si>
    <t>目標売上高</t>
    <phoneticPr fontId="2"/>
  </si>
  <si>
    <t>目標販売単価➄</t>
    <phoneticPr fontId="2"/>
  </si>
  <si>
    <t>×</t>
    <phoneticPr fontId="2"/>
  </si>
  <si>
    <t>書籍P29・31</t>
    <phoneticPr fontId="2"/>
  </si>
  <si>
    <t>予算額
（予算数値）</t>
    <phoneticPr fontId="2"/>
  </si>
  <si>
    <t>根拠資料</t>
    <phoneticPr fontId="2"/>
  </si>
  <si>
    <t>貸</t>
    <phoneticPr fontId="2"/>
  </si>
  <si>
    <t>売上高</t>
    <phoneticPr fontId="2"/>
  </si>
  <si>
    <t>「全社販売計画書」より</t>
    <phoneticPr fontId="2"/>
  </si>
  <si>
    <t>×1年3月10日</t>
    <phoneticPr fontId="2"/>
  </si>
  <si>
    <t>×1年3月9日</t>
    <phoneticPr fontId="2"/>
  </si>
  <si>
    <t>×1年3月８日</t>
    <phoneticPr fontId="2"/>
  </si>
  <si>
    <t>➀月初（期首）
繰越
：未払消費税等</t>
    <phoneticPr fontId="2"/>
  </si>
  <si>
    <t>➁
仮受消費税等</t>
    <phoneticPr fontId="2"/>
  </si>
  <si>
    <t>③
仮払消費税等</t>
    <phoneticPr fontId="2"/>
  </si>
  <si>
    <t>実績予想：担当者別相手先別販売計画表（田辺雄一）</t>
    <phoneticPr fontId="2"/>
  </si>
  <si>
    <t>実績予想：担当者別相手先別販売計画表（鈴木一也）</t>
    <phoneticPr fontId="2"/>
  </si>
  <si>
    <t>⑲÷⑯×100%=⑳</t>
    <phoneticPr fontId="2"/>
  </si>
  <si>
    <t>当期比
増減率</t>
    <phoneticPr fontId="2"/>
  </si>
  <si>
    <t>前年度
実績
（全社）</t>
    <phoneticPr fontId="2"/>
  </si>
  <si>
    <t>（全社）</t>
    <phoneticPr fontId="2"/>
  </si>
  <si>
    <t>次期
目標予算
(全社）</t>
    <phoneticPr fontId="2"/>
  </si>
  <si>
    <t>予算編成方針（売上高）</t>
    <phoneticPr fontId="2"/>
  </si>
  <si>
    <t>↓</t>
    <phoneticPr fontId="2"/>
  </si>
  <si>
    <t>予算損益計算書へ転記</t>
    <phoneticPr fontId="2"/>
  </si>
  <si>
    <t>当期実績予想：消費税等計画書</t>
    <phoneticPr fontId="2"/>
  </si>
  <si>
    <t>前年度
実績</t>
    <phoneticPr fontId="2"/>
  </si>
  <si>
    <t>当年度
実績
予想</t>
    <phoneticPr fontId="2"/>
  </si>
  <si>
    <t xml:space="preserve">次期
目標
予算
</t>
    <phoneticPr fontId="2"/>
  </si>
  <si>
    <t>注１：当期実績予想BSより転記</t>
    <phoneticPr fontId="2"/>
  </si>
  <si>
    <t>注１</t>
    <phoneticPr fontId="2"/>
  </si>
  <si>
    <t>次年度
目標
予算</t>
    <phoneticPr fontId="2"/>
  </si>
  <si>
    <t>次期
目標
増減
差額</t>
    <phoneticPr fontId="2"/>
  </si>
  <si>
    <t>当期比
増減
率</t>
    <phoneticPr fontId="2"/>
  </si>
  <si>
    <t>当年度
実績予想
差異</t>
    <phoneticPr fontId="2"/>
  </si>
  <si>
    <t>④前期：
未払消費税等
の確定納付</t>
    <phoneticPr fontId="2"/>
  </si>
  <si>
    <t>注2</t>
    <phoneticPr fontId="2"/>
  </si>
  <si>
    <t>注１：書籍P９５参照</t>
    <phoneticPr fontId="2"/>
  </si>
  <si>
    <t>NO.４予算損益計算書</t>
    <phoneticPr fontId="2"/>
  </si>
  <si>
    <t>NO.５ 次期予算：消費税等計画書【全社合計】</t>
    <phoneticPr fontId="2"/>
  </si>
  <si>
    <t>書籍P49期首在庫数関連</t>
    <phoneticPr fontId="2"/>
  </si>
  <si>
    <t>演習問題第１回では省略</t>
    <phoneticPr fontId="2"/>
  </si>
  <si>
    <t>次期予算
ﾌｨｰﾄﾞﾊﾞｯｸ</t>
    <phoneticPr fontId="2"/>
  </si>
  <si>
    <t>当期実績予想：全社販売計画書</t>
    <phoneticPr fontId="2"/>
  </si>
  <si>
    <t>月次出庫数量</t>
    <phoneticPr fontId="2"/>
  </si>
  <si>
    <t>（数量ベース）</t>
    <phoneticPr fontId="2"/>
  </si>
  <si>
    <t>月初在庫数量</t>
    <phoneticPr fontId="2"/>
  </si>
  <si>
    <t>月次入庫数量</t>
    <phoneticPr fontId="2"/>
  </si>
  <si>
    <t>Ｅ</t>
    <phoneticPr fontId="2"/>
  </si>
  <si>
    <t>Ｆ</t>
    <phoneticPr fontId="2"/>
  </si>
  <si>
    <t>月末在庫数量</t>
    <phoneticPr fontId="2"/>
  </si>
  <si>
    <t>（金額ベース）</t>
    <phoneticPr fontId="2"/>
  </si>
  <si>
    <t>P４９「商品仕入兼在庫計画表」へ</t>
    <phoneticPr fontId="2"/>
  </si>
  <si>
    <t>月初商品たな卸高</t>
    <phoneticPr fontId="2"/>
  </si>
  <si>
    <t>月次仕入高</t>
    <phoneticPr fontId="2"/>
  </si>
  <si>
    <t>月次売上原価</t>
    <phoneticPr fontId="2"/>
  </si>
  <si>
    <t>月末商品たな卸高</t>
    <phoneticPr fontId="2"/>
  </si>
  <si>
    <t>月初商品たな卸高単価＠</t>
    <phoneticPr fontId="2"/>
  </si>
  <si>
    <t>月次仕入高単価＠</t>
    <phoneticPr fontId="2"/>
  </si>
  <si>
    <t>月次売上原価単価＠</t>
    <phoneticPr fontId="2"/>
  </si>
  <si>
    <t>月末商品たな卸高＠</t>
    <phoneticPr fontId="2"/>
  </si>
  <si>
    <t>NO.６ 次期商品仕入兼在庫計画書</t>
    <rPh sb="5" eb="7">
      <t>ジキ</t>
    </rPh>
    <phoneticPr fontId="2"/>
  </si>
  <si>
    <t>担当者</t>
    <phoneticPr fontId="2"/>
  </si>
  <si>
    <t>田辺雄一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</si>
  <si>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</si>
  <si>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</si>
  <si>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</si>
  <si>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</si>
  <si>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</si>
  <si>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</si>
  <si>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</si>
  <si>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</si>
  <si>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</si>
  <si>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</si>
  <si>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</si>
  <si>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</si>
  <si>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</si>
  <si>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</si>
  <si>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</si>
  <si>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</si>
  <si>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</si>
  <si>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</si>
  <si>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</si>
  <si>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</si>
  <si>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</si>
  <si>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</si>
  <si>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</si>
  <si>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</si>
  <si>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</si>
  <si>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</si>
  <si>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</si>
  <si>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</si>
  <si>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</si>
  <si>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➀</t>
    <phoneticPr fontId="2"/>
  </si>
  <si>
    <t>➁</t>
    <phoneticPr fontId="2"/>
  </si>
  <si>
    <t>Ａ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</si>
  <si>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phoneticPr fontId="2"/>
  </si>
  <si>
    <t>千</t>
    <phoneticPr fontId="2"/>
  </si>
  <si>
    <t>円</t>
    <phoneticPr fontId="2"/>
  </si>
  <si>
    <t>貸</t>
    <phoneticPr fontId="2"/>
  </si>
  <si>
    <t>〇</t>
    <phoneticPr fontId="2"/>
  </si>
  <si>
    <t>Ｂ</t>
    <phoneticPr fontId="2"/>
  </si>
  <si>
    <t>仮受消費税等</t>
    <phoneticPr fontId="2"/>
  </si>
  <si>
    <t>Ｃ</t>
    <phoneticPr fontId="2"/>
  </si>
  <si>
    <t>貸方合計</t>
    <phoneticPr fontId="2"/>
  </si>
  <si>
    <t>D</t>
    <phoneticPr fontId="2"/>
  </si>
  <si>
    <t>➀売掛金発生額</t>
    <phoneticPr fontId="2"/>
  </si>
  <si>
    <t>借</t>
    <phoneticPr fontId="2"/>
  </si>
  <si>
    <t>E</t>
    <phoneticPr fontId="2"/>
  </si>
  <si>
    <t>借方合計</t>
    <phoneticPr fontId="2"/>
  </si>
  <si>
    <t>照合差額</t>
    <phoneticPr fontId="2"/>
  </si>
  <si>
    <t>千</t>
    <phoneticPr fontId="2"/>
  </si>
  <si>
    <t>円</t>
    <phoneticPr fontId="2"/>
  </si>
  <si>
    <t>【売掛金】</t>
    <phoneticPr fontId="2"/>
  </si>
  <si>
    <t>➁月初(期首)残高</t>
    <phoneticPr fontId="2"/>
  </si>
  <si>
    <t>前月発生額</t>
    <phoneticPr fontId="2"/>
  </si>
  <si>
    <t>借</t>
    <phoneticPr fontId="2"/>
  </si>
  <si>
    <t>略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</si>
  <si>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</si>
  <si>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</si>
  <si>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</si>
  <si>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</si>
  <si>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貸</t>
    <phoneticPr fontId="2"/>
  </si>
  <si>
    <t>現金及び預金増加</t>
    <phoneticPr fontId="2"/>
  </si>
  <si>
    <t>④月末(期末)残高</t>
    <phoneticPr fontId="2"/>
  </si>
  <si>
    <t>当月発生額</t>
    <phoneticPr fontId="2"/>
  </si>
  <si>
    <t>月末(期末)残高合計</t>
    <phoneticPr fontId="2"/>
  </si>
  <si>
    <t>担当者</t>
    <phoneticPr fontId="2"/>
  </si>
  <si>
    <t>鈴木一也</t>
    <phoneticPr fontId="2"/>
  </si>
  <si>
    <t>日付</t>
    <phoneticPr fontId="2"/>
  </si>
  <si>
    <t>×0年1月22日</t>
    <phoneticPr fontId="2"/>
  </si>
  <si>
    <t>×0年1月21日</t>
    <phoneticPr fontId="2"/>
  </si>
  <si>
    <t>×0年1月20日</t>
    <phoneticPr fontId="2"/>
  </si>
  <si>
    <t>相手先</t>
    <phoneticPr fontId="2"/>
  </si>
  <si>
    <t>Ｚ社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</si>
  <si>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</si>
  <si>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</si>
  <si>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</si>
  <si>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</si>
  <si>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</si>
  <si>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氏名</t>
    <phoneticPr fontId="2"/>
  </si>
  <si>
    <t>照合差額</t>
    <phoneticPr fontId="2"/>
  </si>
  <si>
    <t>【売掛金】</t>
    <phoneticPr fontId="2"/>
  </si>
  <si>
    <t>前月発生額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</si>
  <si>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</si>
  <si>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</si>
  <si>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</si>
  <si>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</si>
  <si>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現金及び預金増加</t>
    <phoneticPr fontId="2"/>
  </si>
  <si>
    <t>④月末(期末)繰越高</t>
    <phoneticPr fontId="2"/>
  </si>
  <si>
    <t>当月発生額</t>
    <phoneticPr fontId="2"/>
  </si>
  <si>
    <t>月末(期末)残高合計</t>
    <phoneticPr fontId="2"/>
  </si>
  <si>
    <t>全社員合計</t>
    <phoneticPr fontId="2"/>
  </si>
  <si>
    <t>全相手先合計</t>
    <phoneticPr fontId="2"/>
  </si>
  <si>
    <t>➁月初(期首)繰越高</t>
    <phoneticPr fontId="2"/>
  </si>
  <si>
    <t>予算</t>
    <rPh sb="0" eb="2">
      <t>ヨサン</t>
    </rPh>
    <phoneticPr fontId="2"/>
  </si>
  <si>
    <t>5月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</si>
  <si>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</si>
  <si>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</si>
  <si>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</si>
  <si>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通期予算</t>
    <rPh sb="0" eb="2">
      <t>ツウキ</t>
    </rPh>
    <rPh sb="2" eb="4">
      <t>ヨサン</t>
    </rPh>
    <phoneticPr fontId="2"/>
  </si>
  <si>
    <t>当期比
増減差額</t>
    <rPh sb="0" eb="1">
      <t>トウ</t>
    </rPh>
    <phoneticPr fontId="2"/>
  </si>
  <si>
    <t>当期比
増減比率</t>
    <rPh sb="0" eb="1">
      <t>トウ</t>
    </rPh>
    <phoneticPr fontId="2"/>
  </si>
  <si>
    <t>書籍P33・P35・P37</t>
    <phoneticPr fontId="2"/>
  </si>
  <si>
    <t>演習問題第6回</t>
    <phoneticPr fontId="2"/>
  </si>
  <si>
    <t>×0年1月21日</t>
    <phoneticPr fontId="2"/>
  </si>
  <si>
    <t>×0年1月20日</t>
    <phoneticPr fontId="2"/>
  </si>
  <si>
    <t>相手先</t>
    <phoneticPr fontId="2"/>
  </si>
  <si>
    <t>Ｗ社</t>
    <phoneticPr fontId="2"/>
  </si>
  <si>
    <t>消費税率</t>
    <phoneticPr fontId="2"/>
  </si>
  <si>
    <t>１～3を選択</t>
    <phoneticPr fontId="2"/>
  </si>
  <si>
    <t>役職</t>
    <phoneticPr fontId="2"/>
  </si>
  <si>
    <t>部長印</t>
    <phoneticPr fontId="2"/>
  </si>
  <si>
    <t>課長印</t>
    <phoneticPr fontId="2"/>
  </si>
  <si>
    <t>担当者</t>
    <phoneticPr fontId="2"/>
  </si>
  <si>
    <t>書籍P9・P13・P15・Ｐ17</t>
    <phoneticPr fontId="2"/>
  </si>
  <si>
    <t>演習問題第2回</t>
    <phoneticPr fontId="2"/>
  </si>
  <si>
    <t>氏名</t>
    <phoneticPr fontId="2"/>
  </si>
  <si>
    <t>略</t>
    <phoneticPr fontId="2"/>
  </si>
  <si>
    <t>改訂増補「予算会計」（清文社）</t>
    <phoneticPr fontId="2"/>
  </si>
  <si>
    <t>承認印</t>
    <phoneticPr fontId="2"/>
  </si>
  <si>
    <t>(印)</t>
    <phoneticPr fontId="2"/>
  </si>
  <si>
    <t>ＮＯ</t>
    <phoneticPr fontId="2"/>
  </si>
  <si>
    <t>予算科目</t>
    <phoneticPr fontId="2"/>
  </si>
  <si>
    <t>表示単位</t>
    <phoneticPr fontId="2"/>
  </si>
  <si>
    <t>数量単位</t>
    <phoneticPr fontId="2"/>
  </si>
  <si>
    <t>貸
借</t>
    <phoneticPr fontId="2"/>
  </si>
  <si>
    <t>課税</t>
    <phoneticPr fontId="2"/>
  </si>
  <si>
    <t>前年度
実績
（担当者）</t>
    <phoneticPr fontId="2"/>
  </si>
  <si>
    <t>当年度
予算
(担当者）</t>
    <phoneticPr fontId="2"/>
  </si>
  <si>
    <t>×0年</t>
    <phoneticPr fontId="2"/>
  </si>
  <si>
    <t>×1年</t>
    <phoneticPr fontId="2"/>
  </si>
  <si>
    <t>当年度末
実績予想</t>
    <phoneticPr fontId="2"/>
  </si>
  <si>
    <t>前期比
増減差額</t>
    <phoneticPr fontId="2"/>
  </si>
  <si>
    <t>前期比
増減比率</t>
    <phoneticPr fontId="2"/>
  </si>
  <si>
    <t>当年度
実績予想
差異</t>
    <phoneticPr fontId="2"/>
  </si>
  <si>
    <t>予算
達成率</t>
    <phoneticPr fontId="2"/>
  </si>
  <si>
    <t>予算差異原因・対策・ﾌｨｰﾄﾞﾊﾞｯｸ</t>
    <phoneticPr fontId="2"/>
  </si>
  <si>
    <t>4～10月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</si>
  <si>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</si>
  <si>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</si>
  <si>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</si>
  <si>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</si>
  <si>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</si>
  <si>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実績</t>
    <phoneticPr fontId="2"/>
  </si>
  <si>
    <t>見通し</t>
    <phoneticPr fontId="2"/>
  </si>
  <si>
    <t>➀</t>
    <phoneticPr fontId="2"/>
  </si>
  <si>
    <t>➁</t>
    <phoneticPr fontId="2"/>
  </si>
  <si>
    <t>③-1</t>
    <phoneticPr fontId="2"/>
  </si>
  <si>
    <t>③-2</t>
    <phoneticPr fontId="2"/>
  </si>
  <si>
    <t>③-3</t>
    <phoneticPr fontId="2"/>
  </si>
  <si>
    <t>④</t>
    <phoneticPr fontId="2"/>
  </si>
  <si>
    <t>⑤</t>
    <phoneticPr fontId="2"/>
  </si>
  <si>
    <t>➅</t>
    <phoneticPr fontId="2"/>
  </si>
  <si>
    <t>③～➅計
＝⑦</t>
    <phoneticPr fontId="2"/>
  </si>
  <si>
    <t>⑦－➀
＝⑧</t>
    <phoneticPr fontId="2"/>
  </si>
  <si>
    <t>⑧÷➀×100%=⑨</t>
    <phoneticPr fontId="2"/>
  </si>
  <si>
    <t>⑦－➁＝⑩</t>
    <phoneticPr fontId="2"/>
  </si>
  <si>
    <t>⑩÷➁×100%=⑪</t>
    <phoneticPr fontId="2"/>
  </si>
  <si>
    <t>区分</t>
    <phoneticPr fontId="2"/>
  </si>
  <si>
    <t>内容</t>
    <phoneticPr fontId="2"/>
  </si>
  <si>
    <t>対策</t>
    <phoneticPr fontId="2"/>
  </si>
  <si>
    <t>次期予算ﾌｨｰﾄﾞﾊﾞｯｸ</t>
    <phoneticPr fontId="2"/>
  </si>
  <si>
    <t>Ａ</t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</si>
  <si>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売上高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phoneticPr fontId="2"/>
  </si>
  <si>
    <t>千</t>
    <phoneticPr fontId="2"/>
  </si>
  <si>
    <t>円</t>
    <phoneticPr fontId="2"/>
  </si>
  <si>
    <t>貸</t>
    <phoneticPr fontId="2"/>
  </si>
  <si>
    <t>〇</t>
    <phoneticPr fontId="2"/>
  </si>
  <si>
    <t>Ｂ</t>
    <phoneticPr fontId="2"/>
  </si>
  <si>
    <t>仮受消費税等</t>
    <phoneticPr fontId="2"/>
  </si>
  <si>
    <t>Ｃ</t>
    <phoneticPr fontId="2"/>
  </si>
  <si>
    <t>貸方合計</t>
    <phoneticPr fontId="2"/>
  </si>
  <si>
    <t>D</t>
    <phoneticPr fontId="2"/>
  </si>
  <si>
    <t>➀売掛金発生額</t>
    <phoneticPr fontId="2"/>
  </si>
  <si>
    <t>借</t>
    <phoneticPr fontId="2"/>
  </si>
  <si>
    <t>E</t>
    <phoneticPr fontId="2"/>
  </si>
  <si>
    <t>借方合計</t>
    <phoneticPr fontId="2"/>
  </si>
  <si>
    <t>照合差額</t>
    <phoneticPr fontId="2"/>
  </si>
  <si>
    <t>【売掛金】</t>
    <phoneticPr fontId="2"/>
  </si>
  <si>
    <t>➁月初(期首)残高</t>
    <phoneticPr fontId="2"/>
  </si>
  <si>
    <t>前月発生額</t>
    <phoneticPr fontId="2"/>
  </si>
  <si>
    <t>前々月発生額</t>
    <phoneticPr fontId="2"/>
  </si>
  <si>
    <t>前々々月発生額</t>
    <phoneticPr fontId="2"/>
  </si>
  <si>
    <t>月初(期首)残高合計</t>
    <phoneticPr fontId="2"/>
  </si>
  <si>
    <t>③当月売掛金回収額</t>
    <phoneticPr fontId="2"/>
  </si>
  <si>
    <t>現金及び預金増加</t>
    <phoneticPr fontId="2"/>
  </si>
  <si>
    <t>④月末(期末)残高</t>
    <phoneticPr fontId="2"/>
  </si>
  <si>
    <t>当月発生額</t>
    <phoneticPr fontId="2"/>
  </si>
  <si>
    <t>月末(期末)残高合計</t>
    <phoneticPr fontId="2"/>
  </si>
  <si>
    <t>鈴木一也</t>
    <phoneticPr fontId="2"/>
  </si>
  <si>
    <t>日付</t>
    <phoneticPr fontId="2"/>
  </si>
  <si>
    <t>×0年1月22日</t>
    <phoneticPr fontId="2"/>
  </si>
  <si>
    <t>Ｚ社</t>
    <phoneticPr fontId="2"/>
  </si>
  <si>
    <t>④月末(期末)繰越高</t>
    <phoneticPr fontId="2"/>
  </si>
  <si>
    <t>全社員合計</t>
    <phoneticPr fontId="2"/>
  </si>
  <si>
    <t>全相手先合計</t>
    <phoneticPr fontId="2"/>
  </si>
  <si>
    <t>前年度
実績
（全社）</t>
    <phoneticPr fontId="2"/>
  </si>
  <si>
    <t>当年度
予算
（全社）</t>
    <phoneticPr fontId="2"/>
  </si>
  <si>
    <t>➁月初(期首)繰越高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</si>
  <si>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</si>
  <si>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</si>
  <si>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</si>
  <si>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</si>
  <si>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</si>
  <si>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</si>
  <si>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</si>
  <si>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</si>
  <si>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</si>
  <si>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</si>
  <si>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</si>
  <si>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</si>
  <si>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③～⑭計
＝⑮</t>
    <phoneticPr fontId="2"/>
  </si>
  <si>
    <t>⑮－②
＝⑯</t>
    <phoneticPr fontId="2"/>
  </si>
  <si>
    <t>⑯÷②×100%=⑰</t>
    <phoneticPr fontId="2"/>
  </si>
  <si>
    <t>当期増減差異原因・アクションプラン</t>
    <rPh sb="0" eb="2">
      <t>トウキ</t>
    </rPh>
    <rPh sb="2" eb="4">
      <t>ゾウゲン</t>
    </rPh>
    <phoneticPr fontId="2"/>
  </si>
  <si>
    <t>当期増減差異原因</t>
    <rPh sb="0" eb="2">
      <t>トウキ</t>
    </rPh>
    <rPh sb="2" eb="4">
      <t>ゾウゲン</t>
    </rPh>
    <rPh sb="4" eb="6">
      <t>サイ</t>
    </rPh>
    <rPh sb="6" eb="8">
      <t>ゲンイン</t>
    </rPh>
    <phoneticPr fontId="2"/>
  </si>
  <si>
    <t>アクションプラン</t>
    <phoneticPr fontId="2"/>
  </si>
  <si>
    <t>基礎資料NO.1-1 実績予想：担当者別相手先別販売計画表</t>
    <phoneticPr fontId="2"/>
  </si>
  <si>
    <t>基礎資料NO.1-２ 実績予想：担当者別相手先別販売計画表</t>
    <phoneticPr fontId="2"/>
  </si>
  <si>
    <t>基礎資料NO.1 実績予想：全社販売計画書</t>
    <phoneticPr fontId="2"/>
  </si>
  <si>
    <t>基礎資料NO.2：「目標売上高」EXCEL表</t>
    <phoneticPr fontId="2"/>
  </si>
  <si>
    <t>NO.３-1 次期予算：担当者別相手先別販売計画表（田辺雄一）</t>
    <phoneticPr fontId="2"/>
  </si>
  <si>
    <t>NO.３-２ 次期予算：担当者別相手先別販売計画表（鈴木一也）</t>
    <phoneticPr fontId="2"/>
  </si>
  <si>
    <t>NO.７-1 実績予想：担当者別相手先別売上代金回収計画表【田辺雄一・Ｗ社】</t>
    <phoneticPr fontId="2"/>
  </si>
  <si>
    <t>NO.７-2　実績予想：担当者別相手先別売上代金回収計画表【鈴木一也・Ｚ社】</t>
    <phoneticPr fontId="2"/>
  </si>
  <si>
    <t>NO.７ 実績予想：全社売上代金回収計画書</t>
    <phoneticPr fontId="2"/>
  </si>
  <si>
    <t>NO.８-1次期担当者別相手先別売上代金回収計画表【田辺雄一・Ｗ社】</t>
    <rPh sb="6" eb="8">
      <t>ジキ</t>
    </rPh>
    <phoneticPr fontId="2"/>
  </si>
  <si>
    <t>NO.８-2　次期担当者別相手先別売上代金回収計画表【鈴木一也・Ｚ社】</t>
    <rPh sb="7" eb="9">
      <t>ジキ</t>
    </rPh>
    <phoneticPr fontId="2"/>
  </si>
  <si>
    <t>NO.８ 次期全社売上代金回収計画書</t>
    <rPh sb="5" eb="7">
      <t>ジキ</t>
    </rPh>
    <phoneticPr fontId="2"/>
  </si>
  <si>
    <t>NO.９ 次期月次資金計画書</t>
    <rPh sb="5" eb="7">
      <t>ジキ</t>
    </rPh>
    <rPh sb="7" eb="9">
      <t>ゲツジ</t>
    </rPh>
    <rPh sb="9" eb="11">
      <t>シキン</t>
    </rPh>
    <phoneticPr fontId="2"/>
  </si>
  <si>
    <t>月次売上代金回収収入</t>
    <rPh sb="0" eb="2">
      <t>ゲツジ</t>
    </rPh>
    <rPh sb="2" eb="4">
      <t>ウリアゲ</t>
    </rPh>
    <rPh sb="4" eb="6">
      <t>ダイキン</t>
    </rPh>
    <rPh sb="6" eb="8">
      <t>カイシュウ</t>
    </rPh>
    <rPh sb="8" eb="10">
      <t>シュウニュウ</t>
    </rPh>
    <phoneticPr fontId="2"/>
  </si>
  <si>
    <t>当期増減差異原因・アクションプラン</t>
    <phoneticPr fontId="2"/>
  </si>
  <si>
    <t>売掛金</t>
    <rPh sb="1" eb="2">
      <t>カ</t>
    </rPh>
    <rPh sb="2" eb="3">
      <t>キン</t>
    </rPh>
    <phoneticPr fontId="2"/>
  </si>
  <si>
    <t>ＮＯ.１０予算比較貸借対照表</t>
    <rPh sb="5" eb="7">
      <t>ヨサン</t>
    </rPh>
    <rPh sb="7" eb="9">
      <t>ヒカク</t>
    </rPh>
    <rPh sb="9" eb="11">
      <t>タイシャク</t>
    </rPh>
    <rPh sb="11" eb="14">
      <t>タイショウヒョウ</t>
    </rPh>
    <phoneticPr fontId="2"/>
  </si>
  <si>
    <t>借</t>
    <rPh sb="0" eb="1">
      <t>カ</t>
    </rPh>
    <phoneticPr fontId="2"/>
  </si>
  <si>
    <t>当期</t>
    <rPh sb="0" eb="2">
      <t>トウキ</t>
    </rPh>
    <phoneticPr fontId="2"/>
  </si>
  <si>
    <t>次期</t>
    <rPh sb="0" eb="2">
      <t>ジキ</t>
    </rPh>
    <phoneticPr fontId="2"/>
  </si>
  <si>
    <t>当期増減</t>
    <rPh sb="0" eb="2">
      <t>トウキ</t>
    </rPh>
    <rPh sb="2" eb="4">
      <t>ゾウゲン</t>
    </rPh>
    <phoneticPr fontId="2"/>
  </si>
  <si>
    <t>当期実績予想</t>
    <rPh sb="0" eb="2">
      <t>トウキ</t>
    </rPh>
    <rPh sb="2" eb="4">
      <t>ジッセキ</t>
    </rPh>
    <rPh sb="4" eb="6">
      <t>ヨソウ</t>
    </rPh>
    <phoneticPr fontId="2"/>
  </si>
  <si>
    <t>×2年3月31日</t>
    <rPh sb="2" eb="3">
      <t>ネン</t>
    </rPh>
    <rPh sb="4" eb="5">
      <t>ツキ</t>
    </rPh>
    <rPh sb="7" eb="8">
      <t>ニチ</t>
    </rPh>
    <phoneticPr fontId="2"/>
  </si>
  <si>
    <t>次期予算</t>
    <rPh sb="0" eb="2">
      <t>ジキ</t>
    </rPh>
    <rPh sb="2" eb="4">
      <t>ヨサン</t>
    </rPh>
    <phoneticPr fontId="2"/>
  </si>
  <si>
    <t>②-①＝③</t>
    <phoneticPr fontId="2"/>
  </si>
  <si>
    <t>C</t>
    <phoneticPr fontId="2"/>
  </si>
  <si>
    <t>×3年3月31日</t>
    <rPh sb="2" eb="3">
      <t>ネン</t>
    </rPh>
    <rPh sb="4" eb="5">
      <t>ツキ</t>
    </rPh>
    <rPh sb="7" eb="8">
      <t>ニチ</t>
    </rPh>
    <phoneticPr fontId="2"/>
  </si>
  <si>
    <t>×3年</t>
    <phoneticPr fontId="2"/>
  </si>
  <si>
    <t>種類</t>
    <rPh sb="0" eb="2">
      <t>シュルイ</t>
    </rPh>
    <phoneticPr fontId="2"/>
  </si>
  <si>
    <t>予算科目</t>
    <rPh sb="0" eb="2">
      <t>ヨサン</t>
    </rPh>
    <rPh sb="2" eb="4">
      <t>カモク</t>
    </rPh>
    <phoneticPr fontId="2"/>
  </si>
  <si>
    <t>千円</t>
    <rPh sb="0" eb="2">
      <t>センエン</t>
    </rPh>
    <phoneticPr fontId="2"/>
  </si>
  <si>
    <t>借　　　　方</t>
    <rPh sb="0" eb="1">
      <t>カ</t>
    </rPh>
    <rPh sb="5" eb="6">
      <t>カタ</t>
    </rPh>
    <phoneticPr fontId="2"/>
  </si>
  <si>
    <t>貸　　　　方</t>
    <rPh sb="0" eb="1">
      <t>カシ</t>
    </rPh>
    <rPh sb="5" eb="6">
      <t>カタ</t>
    </rPh>
    <phoneticPr fontId="2"/>
  </si>
  <si>
    <t>金額</t>
    <rPh sb="0" eb="2">
      <t>キンガク</t>
    </rPh>
    <phoneticPr fontId="2"/>
  </si>
  <si>
    <t>金　　額</t>
    <rPh sb="0" eb="1">
      <t>キン</t>
    </rPh>
    <rPh sb="3" eb="4">
      <t>ガク</t>
    </rPh>
    <phoneticPr fontId="2"/>
  </si>
  <si>
    <t>単位</t>
    <rPh sb="0" eb="2">
      <t>タンイ</t>
    </rPh>
    <phoneticPr fontId="2"/>
  </si>
  <si>
    <t>（日付）：×２年２月２５日　（組替ＣＦ仕訳ＮＯ）：ＮＯ．１</t>
    <rPh sb="1" eb="2">
      <t>ニチ</t>
    </rPh>
    <rPh sb="2" eb="3">
      <t>ツ</t>
    </rPh>
    <rPh sb="7" eb="8">
      <t>ネン</t>
    </rPh>
    <rPh sb="9" eb="10">
      <t>ツキ</t>
    </rPh>
    <rPh sb="12" eb="13">
      <t>ニチ</t>
    </rPh>
    <rPh sb="15" eb="17">
      <t>クミカエ</t>
    </rPh>
    <rPh sb="19" eb="21">
      <t>シワケ</t>
    </rPh>
    <phoneticPr fontId="2"/>
  </si>
  <si>
    <t>（ＣＦ予算科目）：「営業収入」</t>
    <rPh sb="3" eb="5">
      <t>ヨサン</t>
    </rPh>
    <rPh sb="5" eb="7">
      <t>カモク</t>
    </rPh>
    <rPh sb="10" eb="12">
      <t>エイギョウ</t>
    </rPh>
    <rPh sb="12" eb="14">
      <t>シュウニュウ</t>
    </rPh>
    <phoneticPr fontId="2"/>
  </si>
  <si>
    <t>借方合計</t>
    <rPh sb="0" eb="1">
      <t>カ</t>
    </rPh>
    <rPh sb="1" eb="2">
      <t>カタ</t>
    </rPh>
    <rPh sb="2" eb="4">
      <t>ゴウケイ</t>
    </rPh>
    <phoneticPr fontId="2"/>
  </si>
  <si>
    <t>貸方合計</t>
    <rPh sb="0" eb="1">
      <t>カシ</t>
    </rPh>
    <rPh sb="1" eb="2">
      <t>カタ</t>
    </rPh>
    <rPh sb="2" eb="4">
      <t>ゴウケイ</t>
    </rPh>
    <phoneticPr fontId="2"/>
  </si>
  <si>
    <t>Ｐ/Ｌ</t>
    <phoneticPr fontId="2"/>
  </si>
  <si>
    <t>売上高</t>
    <rPh sb="0" eb="2">
      <t>ウリアゲ</t>
    </rPh>
    <rPh sb="2" eb="3">
      <t>ダカ</t>
    </rPh>
    <phoneticPr fontId="2"/>
  </si>
  <si>
    <t>仮受消費税等</t>
    <rPh sb="0" eb="2">
      <t>カリウケ</t>
    </rPh>
    <rPh sb="2" eb="5">
      <t>ショウヒゼイ</t>
    </rPh>
    <rPh sb="5" eb="6">
      <t>ナド</t>
    </rPh>
    <phoneticPr fontId="2"/>
  </si>
  <si>
    <t>消/計</t>
    <rPh sb="0" eb="1">
      <t>ショウ</t>
    </rPh>
    <rPh sb="2" eb="3">
      <t>ケイ</t>
    </rPh>
    <phoneticPr fontId="2"/>
  </si>
  <si>
    <t>±Ｂ/Ｓ</t>
    <phoneticPr fontId="2"/>
  </si>
  <si>
    <t>売掛金</t>
    <rPh sb="0" eb="3">
      <t>ウリカケキン</t>
    </rPh>
    <phoneticPr fontId="2"/>
  </si>
  <si>
    <t>Ｃ/Ｆ</t>
    <phoneticPr fontId="2"/>
  </si>
  <si>
    <t>営業収入</t>
    <rPh sb="0" eb="2">
      <t>エイギョウ</t>
    </rPh>
    <rPh sb="2" eb="4">
      <t>シュウニュウ</t>
    </rPh>
    <phoneticPr fontId="2"/>
  </si>
  <si>
    <t>×１年1月22日</t>
    <phoneticPr fontId="2"/>
  </si>
  <si>
    <t>×1年1月21日</t>
    <phoneticPr fontId="2"/>
  </si>
  <si>
    <t>×1年1月20日</t>
    <phoneticPr fontId="2"/>
  </si>
  <si>
    <t>×１年1月21日</t>
    <phoneticPr fontId="2"/>
  </si>
  <si>
    <t>×１年1月20日</t>
    <phoneticPr fontId="2"/>
  </si>
  <si>
    <t>×１年1月22日</t>
    <phoneticPr fontId="2"/>
  </si>
  <si>
    <t>×１年1月21日</t>
    <phoneticPr fontId="2"/>
  </si>
  <si>
    <t>×１年1月20日</t>
    <phoneticPr fontId="2"/>
  </si>
  <si>
    <t>（×１年４月１日～×２年３月31日）</t>
    <phoneticPr fontId="2"/>
  </si>
  <si>
    <t>（×１年４月１日～×２年３月31日）</t>
    <rPh sb="3" eb="4">
      <t>ネン</t>
    </rPh>
    <rPh sb="5" eb="6">
      <t>ツキ</t>
    </rPh>
    <rPh sb="7" eb="8">
      <t>ニチ</t>
    </rPh>
    <rPh sb="11" eb="12">
      <t>ネン</t>
    </rPh>
    <rPh sb="13" eb="14">
      <t>ツキ</t>
    </rPh>
    <rPh sb="16" eb="17">
      <t>ニチ</t>
    </rPh>
    <phoneticPr fontId="2"/>
  </si>
  <si>
    <t>コメント</t>
    <phoneticPr fontId="2"/>
  </si>
  <si>
    <t>表示単位</t>
    <rPh sb="0" eb="2">
      <t>ヒョウジ</t>
    </rPh>
    <rPh sb="2" eb="4">
      <t>タンイ</t>
    </rPh>
    <phoneticPr fontId="2"/>
  </si>
  <si>
    <t>（日付）：×２年２月２５日　（組替ＣＦ仕訳ＮＯ）：略</t>
    <rPh sb="1" eb="2">
      <t>ニチ</t>
    </rPh>
    <rPh sb="2" eb="3">
      <t>ツ</t>
    </rPh>
    <rPh sb="7" eb="8">
      <t>ネン</t>
    </rPh>
    <rPh sb="9" eb="10">
      <t>ツキ</t>
    </rPh>
    <rPh sb="12" eb="13">
      <t>ニチ</t>
    </rPh>
    <rPh sb="15" eb="17">
      <t>クミカエ</t>
    </rPh>
    <rPh sb="19" eb="21">
      <t>シワケ</t>
    </rPh>
    <rPh sb="25" eb="26">
      <t>リャク</t>
    </rPh>
    <phoneticPr fontId="2"/>
  </si>
  <si>
    <t>（ＣＦ予算科目）：「売上債権の増減額」</t>
    <rPh sb="3" eb="5">
      <t>ヨサン</t>
    </rPh>
    <rPh sb="5" eb="7">
      <t>カモク</t>
    </rPh>
    <rPh sb="10" eb="12">
      <t>ウリアゲ</t>
    </rPh>
    <rPh sb="12" eb="14">
      <t>サイケン</t>
    </rPh>
    <rPh sb="15" eb="18">
      <t>ゾウゲンガク</t>
    </rPh>
    <phoneticPr fontId="2"/>
  </si>
  <si>
    <t>略</t>
    <rPh sb="0" eb="1">
      <t>リャク</t>
    </rPh>
    <phoneticPr fontId="2"/>
  </si>
  <si>
    <t>・・・略・・・</t>
    <rPh sb="3" eb="4">
      <t>リャク</t>
    </rPh>
    <phoneticPr fontId="2"/>
  </si>
  <si>
    <t>売上債権の
増減額</t>
    <rPh sb="0" eb="2">
      <t>ウリアゲ</t>
    </rPh>
    <rPh sb="2" eb="4">
      <t>サイケン</t>
    </rPh>
    <rPh sb="6" eb="8">
      <t>ゾウゲン</t>
    </rPh>
    <rPh sb="8" eb="9">
      <t>ガク</t>
    </rPh>
    <phoneticPr fontId="2"/>
  </si>
  <si>
    <t>ＮＯ．１１－１予算キャッシュ・フロー計算書科目組替仕訳【直接法】</t>
    <rPh sb="7" eb="9">
      <t>ヨサン</t>
    </rPh>
    <rPh sb="18" eb="21">
      <t>ケイサンショ</t>
    </rPh>
    <rPh sb="21" eb="23">
      <t>カモク</t>
    </rPh>
    <rPh sb="23" eb="25">
      <t>クミカエ</t>
    </rPh>
    <rPh sb="25" eb="27">
      <t>シワケ</t>
    </rPh>
    <rPh sb="28" eb="30">
      <t>チョクセツ</t>
    </rPh>
    <rPh sb="30" eb="31">
      <t>ホウ</t>
    </rPh>
    <phoneticPr fontId="2"/>
  </si>
  <si>
    <t>ＮＯ．１２－１予算キャッシュ・フロー計算書【直接法】</t>
    <rPh sb="7" eb="9">
      <t>ヨサン</t>
    </rPh>
    <rPh sb="18" eb="21">
      <t>ケイサンショ</t>
    </rPh>
    <rPh sb="22" eb="24">
      <t>チョクセツ</t>
    </rPh>
    <rPh sb="24" eb="25">
      <t>ホウ</t>
    </rPh>
    <phoneticPr fontId="2"/>
  </si>
  <si>
    <t>ＮＯ．１１－２予算キャッシュ・フロー計算書科目組替仕訳【間接法】</t>
    <rPh sb="7" eb="9">
      <t>ヨサン</t>
    </rPh>
    <rPh sb="18" eb="21">
      <t>ケイサンショ</t>
    </rPh>
    <rPh sb="21" eb="23">
      <t>カモク</t>
    </rPh>
    <rPh sb="23" eb="25">
      <t>クミカエ</t>
    </rPh>
    <rPh sb="25" eb="27">
      <t>シワケ</t>
    </rPh>
    <rPh sb="28" eb="30">
      <t>カンセツ</t>
    </rPh>
    <rPh sb="30" eb="31">
      <t>ホウ</t>
    </rPh>
    <phoneticPr fontId="2"/>
  </si>
  <si>
    <t>ＮＯ．１２－２：予算キャッシュ・フロー計算書【間接法】</t>
    <rPh sb="8" eb="10">
      <t>ヨサン</t>
    </rPh>
    <rPh sb="19" eb="22">
      <t>ケイサンショ</t>
    </rPh>
    <rPh sb="23" eb="25">
      <t>カンセツ</t>
    </rPh>
    <rPh sb="25" eb="26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</si>
</sst>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0.0%"/>
    <numFmt numFmtId="178" formatCode="#,##0.00;&quot;△ &quot;#,##0.00"/>
  </numFmts>
  <fonts count="26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4" borderId="8" xfId="0" applyFont="1" applyFill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2" xfId="0" applyNumberFormat="1" applyFont="1" applyBorder="1" applyAlignment="1"/>
    <xf numFmtId="0" fontId="8" fillId="4" borderId="8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8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7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top"/>
    </xf>
    <xf numFmtId="176" fontId="12" fillId="0" borderId="12" xfId="0" applyNumberFormat="1" applyFont="1" applyBorder="1" applyAlignment="1">
      <alignment vertical="top" wrapText="1"/>
    </xf>
    <xf numFmtId="176" fontId="12" fillId="0" borderId="12" xfId="0" applyNumberFormat="1" applyFont="1" applyBorder="1" applyAlignment="1">
      <alignment horizontal="center" vertical="top" wrapText="1"/>
    </xf>
    <xf numFmtId="176" fontId="12" fillId="0" borderId="12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3" fillId="0" borderId="10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2" xfId="0" applyNumberFormat="1" applyFont="1" applyBorder="1" applyAlignment="1"/>
    <xf numFmtId="0" fontId="3" fillId="4" borderId="8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left"/>
    </xf>
    <xf numFmtId="176" fontId="13" fillId="5" borderId="12" xfId="0" applyNumberFormat="1" applyFont="1" applyFill="1" applyBorder="1" applyAlignment="1"/>
    <xf numFmtId="176" fontId="14" fillId="5" borderId="12" xfId="0" applyNumberFormat="1" applyFont="1" applyFill="1" applyBorder="1" applyAlignment="1"/>
    <xf numFmtId="176" fontId="14" fillId="5" borderId="8" xfId="0" applyNumberFormat="1" applyFont="1" applyFill="1" applyBorder="1" applyAlignment="1"/>
    <xf numFmtId="176" fontId="3" fillId="0" borderId="17" xfId="0" applyNumberFormat="1" applyFont="1" applyBorder="1" applyAlignment="1">
      <alignment horizontal="right" vertical="top" wrapText="1"/>
    </xf>
    <xf numFmtId="176" fontId="3" fillId="0" borderId="12" xfId="0" applyNumberFormat="1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center" vertical="center"/>
    </xf>
    <xf numFmtId="0" fontId="6" fillId="4" borderId="8" xfId="0" applyFont="1" applyFill="1" applyBorder="1" applyAlignment="1"/>
    <xf numFmtId="176" fontId="3" fillId="0" borderId="17" xfId="0" applyNumberFormat="1" applyFont="1" applyBorder="1" applyAlignment="1">
      <alignment vertical="top"/>
    </xf>
    <xf numFmtId="176" fontId="3" fillId="0" borderId="12" xfId="0" applyNumberFormat="1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15" fillId="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176" fontId="0" fillId="0" borderId="9" xfId="0" applyNumberFormat="1" applyBorder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176" fontId="13" fillId="5" borderId="12" xfId="0" applyNumberFormat="1" applyFont="1" applyFill="1" applyBorder="1" applyAlignment="1">
      <alignment shrinkToFit="1"/>
    </xf>
    <xf numFmtId="176" fontId="14" fillId="5" borderId="8" xfId="0" applyNumberFormat="1" applyFont="1" applyFill="1" applyBorder="1" applyAlignment="1">
      <alignment shrinkToFit="1"/>
    </xf>
    <xf numFmtId="0" fontId="3" fillId="4" borderId="7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7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8" fillId="9" borderId="8" xfId="0" applyNumberFormat="1" applyFont="1" applyFill="1" applyBorder="1" applyAlignment="1"/>
    <xf numFmtId="176" fontId="20" fillId="5" borderId="8" xfId="0" applyNumberFormat="1" applyFont="1" applyFill="1" applyBorder="1" applyAlignment="1"/>
    <xf numFmtId="0" fontId="8" fillId="0" borderId="0" xfId="0" applyFont="1">
      <alignment vertical="center"/>
    </xf>
    <xf numFmtId="176" fontId="20" fillId="5" borderId="25" xfId="0" applyNumberFormat="1" applyFont="1" applyFill="1" applyBorder="1" applyAlignment="1"/>
    <xf numFmtId="0" fontId="10" fillId="0" borderId="0" xfId="0" applyFont="1" applyBorder="1" applyAlignment="1">
      <alignment horizontal="center" vertical="center"/>
    </xf>
    <xf numFmtId="0" fontId="8" fillId="10" borderId="0" xfId="0" applyFont="1" applyFill="1" applyBorder="1">
      <alignment vertical="center"/>
    </xf>
    <xf numFmtId="0" fontId="8" fillId="10" borderId="0" xfId="0" applyFont="1" applyFill="1" applyBorder="1" applyAlignment="1">
      <alignment horizontal="center" vertical="center"/>
    </xf>
    <xf numFmtId="176" fontId="8" fillId="10" borderId="0" xfId="0" applyNumberFormat="1" applyFont="1" applyFill="1" applyBorder="1" applyAlignment="1"/>
    <xf numFmtId="177" fontId="8" fillId="10" borderId="0" xfId="0" applyNumberFormat="1" applyFont="1" applyFill="1" applyBorder="1" applyAlignment="1"/>
    <xf numFmtId="9" fontId="8" fillId="10" borderId="0" xfId="0" applyNumberFormat="1" applyFont="1" applyFill="1" applyBorder="1" applyAlignment="1"/>
    <xf numFmtId="176" fontId="8" fillId="10" borderId="0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21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176" fontId="22" fillId="5" borderId="12" xfId="0" applyNumberFormat="1" applyFont="1" applyFill="1" applyBorder="1" applyAlignment="1"/>
    <xf numFmtId="176" fontId="4" fillId="0" borderId="12" xfId="0" applyNumberFormat="1" applyFont="1" applyBorder="1" applyAlignment="1">
      <alignment horizontal="center" wrapText="1"/>
    </xf>
    <xf numFmtId="176" fontId="14" fillId="5" borderId="9" xfId="0" applyNumberFormat="1" applyFont="1" applyFill="1" applyBorder="1" applyAlignment="1"/>
    <xf numFmtId="0" fontId="6" fillId="4" borderId="8" xfId="0" applyFont="1" applyFill="1" applyBorder="1" applyAlignment="1">
      <alignment wrapText="1"/>
    </xf>
    <xf numFmtId="0" fontId="3" fillId="0" borderId="12" xfId="0" applyFont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wrapText="1"/>
    </xf>
    <xf numFmtId="178" fontId="13" fillId="5" borderId="12" xfId="0" applyNumberFormat="1" applyFont="1" applyFill="1" applyBorder="1" applyAlignment="1"/>
    <xf numFmtId="0" fontId="3" fillId="4" borderId="8" xfId="0" applyFont="1" applyFill="1" applyBorder="1" applyAlignment="1">
      <alignment horizontal="center" vertical="center"/>
    </xf>
    <xf numFmtId="0" fontId="14" fillId="5" borderId="8" xfId="0" applyFont="1" applyFill="1" applyBorder="1">
      <alignment vertical="center"/>
    </xf>
    <xf numFmtId="176" fontId="14" fillId="5" borderId="15" xfId="0" applyNumberFormat="1" applyFont="1" applyFill="1" applyBorder="1" applyAlignment="1"/>
    <xf numFmtId="0" fontId="14" fillId="5" borderId="8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vertical="center" shrinkToFit="1"/>
    </xf>
    <xf numFmtId="0" fontId="6" fillId="4" borderId="8" xfId="0" applyFont="1" applyFill="1" applyBorder="1" applyAlignment="1">
      <alignment vertical="center" shrinkToFit="1"/>
    </xf>
    <xf numFmtId="0" fontId="14" fillId="5" borderId="8" xfId="0" applyFont="1" applyFill="1" applyBorder="1" applyAlignment="1">
      <alignment horizontal="left" vertical="center" shrinkToFit="1"/>
    </xf>
    <xf numFmtId="0" fontId="14" fillId="5" borderId="20" xfId="0" applyFont="1" applyFill="1" applyBorder="1" applyAlignment="1">
      <alignment horizontal="left" vertical="center" shrinkToFit="1"/>
    </xf>
    <xf numFmtId="176" fontId="4" fillId="9" borderId="12" xfId="0" applyNumberFormat="1" applyFont="1" applyFill="1" applyBorder="1" applyAlignment="1"/>
    <xf numFmtId="0" fontId="3" fillId="9" borderId="9" xfId="0" applyFont="1" applyFill="1" applyBorder="1">
      <alignment vertical="center"/>
    </xf>
    <xf numFmtId="176" fontId="4" fillId="9" borderId="12" xfId="0" applyNumberFormat="1" applyFont="1" applyFill="1" applyBorder="1" applyAlignment="1">
      <alignment horizontal="right"/>
    </xf>
    <xf numFmtId="176" fontId="4" fillId="0" borderId="12" xfId="0" applyNumberFormat="1" applyFont="1" applyFill="1" applyBorder="1" applyAlignment="1"/>
    <xf numFmtId="176" fontId="3" fillId="0" borderId="17" xfId="0" applyNumberFormat="1" applyFont="1" applyFill="1" applyBorder="1" applyAlignment="1"/>
    <xf numFmtId="177" fontId="3" fillId="0" borderId="17" xfId="0" applyNumberFormat="1" applyFont="1" applyFill="1" applyBorder="1" applyAlignment="1"/>
    <xf numFmtId="176" fontId="3" fillId="0" borderId="17" xfId="0" applyNumberFormat="1" applyFont="1" applyFill="1" applyBorder="1">
      <alignment vertical="center"/>
    </xf>
    <xf numFmtId="0" fontId="0" fillId="0" borderId="0" xfId="0" applyFill="1">
      <alignment vertical="center"/>
    </xf>
    <xf numFmtId="176" fontId="4" fillId="9" borderId="15" xfId="0" applyNumberFormat="1" applyFont="1" applyFill="1" applyBorder="1" applyAlignment="1"/>
    <xf numFmtId="176" fontId="4" fillId="9" borderId="1" xfId="0" applyNumberFormat="1" applyFont="1" applyFill="1" applyBorder="1" applyAlignment="1">
      <alignment horizontal="right"/>
    </xf>
    <xf numFmtId="176" fontId="3" fillId="9" borderId="17" xfId="0" applyNumberFormat="1" applyFont="1" applyFill="1" applyBorder="1" applyAlignment="1"/>
    <xf numFmtId="177" fontId="3" fillId="9" borderId="17" xfId="0" applyNumberFormat="1" applyFont="1" applyFill="1" applyBorder="1" applyAlignment="1"/>
    <xf numFmtId="176" fontId="3" fillId="9" borderId="17" xfId="0" applyNumberFormat="1" applyFont="1" applyFill="1" applyBorder="1" applyAlignment="1">
      <alignment horizontal="right"/>
    </xf>
    <xf numFmtId="177" fontId="3" fillId="9" borderId="17" xfId="0" applyNumberFormat="1" applyFont="1" applyFill="1" applyBorder="1" applyAlignment="1">
      <alignment horizontal="right"/>
    </xf>
    <xf numFmtId="176" fontId="4" fillId="9" borderId="15" xfId="0" applyNumberFormat="1" applyFont="1" applyFill="1" applyBorder="1" applyAlignment="1">
      <alignment shrinkToFit="1"/>
    </xf>
    <xf numFmtId="0" fontId="3" fillId="9" borderId="12" xfId="0" applyFont="1" applyFill="1" applyBorder="1">
      <alignment vertical="center"/>
    </xf>
    <xf numFmtId="0" fontId="0" fillId="0" borderId="1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4" fillId="5" borderId="8" xfId="0" applyFont="1" applyFill="1" applyBorder="1" applyAlignment="1">
      <alignment horizontal="center" vertical="center" shrinkToFit="1"/>
    </xf>
    <xf numFmtId="0" fontId="0" fillId="0" borderId="0" xfId="0" applyAlignment="1"/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3" borderId="1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right" vertical="center"/>
    </xf>
    <xf numFmtId="176" fontId="3" fillId="6" borderId="17" xfId="0" applyNumberFormat="1" applyFont="1" applyFill="1" applyBorder="1" applyAlignment="1">
      <alignment horizontal="right" vertical="center"/>
    </xf>
    <xf numFmtId="176" fontId="3" fillId="6" borderId="12" xfId="0" applyNumberFormat="1" applyFont="1" applyFill="1" applyBorder="1" applyAlignment="1">
      <alignment horizontal="right" vertical="center"/>
    </xf>
    <xf numFmtId="9" fontId="3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right" vertical="center"/>
    </xf>
    <xf numFmtId="176" fontId="3" fillId="7" borderId="17" xfId="0" applyNumberFormat="1" applyFont="1" applyFill="1" applyBorder="1" applyAlignment="1">
      <alignment horizontal="right" vertical="center"/>
    </xf>
    <xf numFmtId="176" fontId="3" fillId="7" borderId="26" xfId="0" applyNumberFormat="1" applyFont="1" applyFill="1" applyBorder="1" applyAlignment="1">
      <alignment horizontal="right" vertical="center"/>
    </xf>
    <xf numFmtId="176" fontId="3" fillId="7" borderId="13" xfId="0" applyNumberFormat="1" applyFont="1" applyFill="1" applyBorder="1" applyAlignment="1">
      <alignment horizontal="right" vertical="center"/>
    </xf>
    <xf numFmtId="9" fontId="3" fillId="7" borderId="6" xfId="0" applyNumberFormat="1" applyFont="1" applyFill="1" applyBorder="1" applyAlignment="1">
      <alignment horizontal="center" vertical="center"/>
    </xf>
    <xf numFmtId="9" fontId="3" fillId="7" borderId="7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9" fontId="3" fillId="6" borderId="6" xfId="0" applyNumberFormat="1" applyFont="1" applyFill="1" applyBorder="1" applyAlignment="1">
      <alignment horizontal="center" vertical="center"/>
    </xf>
    <xf numFmtId="9" fontId="3" fillId="6" borderId="7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0" fontId="18" fillId="8" borderId="11" xfId="0" applyFont="1" applyFill="1" applyBorder="1" applyAlignment="1">
      <alignment horizontal="right" vertical="center"/>
    </xf>
    <xf numFmtId="0" fontId="18" fillId="8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9" fontId="3" fillId="3" borderId="11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9" fontId="3" fillId="8" borderId="6" xfId="0" applyNumberFormat="1" applyFont="1" applyFill="1" applyBorder="1" applyAlignment="1">
      <alignment horizontal="right" vertical="center"/>
    </xf>
    <xf numFmtId="9" fontId="3" fillId="8" borderId="11" xfId="0" applyNumberFormat="1" applyFont="1" applyFill="1" applyBorder="1" applyAlignment="1">
      <alignment horizontal="right" vertical="center"/>
    </xf>
    <xf numFmtId="9" fontId="3" fillId="8" borderId="7" xfId="0" applyNumberFormat="1" applyFont="1" applyFill="1" applyBorder="1" applyAlignment="1">
      <alignment horizontal="right" vertical="center"/>
    </xf>
    <xf numFmtId="176" fontId="3" fillId="6" borderId="2" xfId="0" applyNumberFormat="1" applyFont="1" applyFill="1" applyBorder="1" applyAlignment="1">
      <alignment horizontal="right" vertical="center"/>
    </xf>
    <xf numFmtId="176" fontId="3" fillId="6" borderId="5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176" fontId="18" fillId="8" borderId="6" xfId="0" applyNumberFormat="1" applyFont="1" applyFill="1" applyBorder="1" applyAlignment="1">
      <alignment horizontal="right" vertical="center"/>
    </xf>
    <xf numFmtId="176" fontId="18" fillId="8" borderId="11" xfId="0" applyNumberFormat="1" applyFont="1" applyFill="1" applyBorder="1" applyAlignment="1">
      <alignment horizontal="right" vertical="center"/>
    </xf>
    <xf numFmtId="176" fontId="18" fillId="8" borderId="7" xfId="0" applyNumberFormat="1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 shrinkToFit="1"/>
    </xf>
    <xf numFmtId="0" fontId="18" fillId="6" borderId="7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18" fillId="8" borderId="6" xfId="0" applyNumberFormat="1" applyFont="1" applyFill="1" applyBorder="1" applyAlignment="1">
      <alignment horizontal="right" vertical="center"/>
    </xf>
    <xf numFmtId="9" fontId="18" fillId="8" borderId="11" xfId="0" applyNumberFormat="1" applyFont="1" applyFill="1" applyBorder="1" applyAlignment="1">
      <alignment horizontal="right" vertical="center"/>
    </xf>
    <xf numFmtId="9" fontId="18" fillId="8" borderId="7" xfId="0" applyNumberFormat="1" applyFont="1" applyFill="1" applyBorder="1" applyAlignment="1">
      <alignment horizontal="right" vertical="center"/>
    </xf>
    <xf numFmtId="176" fontId="19" fillId="8" borderId="6" xfId="0" applyNumberFormat="1" applyFont="1" applyFill="1" applyBorder="1" applyAlignment="1">
      <alignment horizontal="right" vertical="center"/>
    </xf>
    <xf numFmtId="176" fontId="19" fillId="8" borderId="11" xfId="0" applyNumberFormat="1" applyFont="1" applyFill="1" applyBorder="1" applyAlignment="1">
      <alignment horizontal="right" vertical="center"/>
    </xf>
    <xf numFmtId="176" fontId="19" fillId="8" borderId="7" xfId="0" applyNumberFormat="1" applyFont="1" applyFill="1" applyBorder="1" applyAlignment="1">
      <alignment horizontal="right" vertical="center"/>
    </xf>
    <xf numFmtId="0" fontId="1" fillId="8" borderId="6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/>
    </xf>
    <xf numFmtId="176" fontId="6" fillId="8" borderId="6" xfId="0" applyNumberFormat="1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right" vertical="center"/>
    </xf>
    <xf numFmtId="0" fontId="6" fillId="8" borderId="7" xfId="0" applyFont="1" applyFill="1" applyBorder="1" applyAlignment="1">
      <alignment horizontal="right" vertical="center"/>
    </xf>
    <xf numFmtId="176" fontId="20" fillId="5" borderId="6" xfId="0" applyNumberFormat="1" applyFont="1" applyFill="1" applyBorder="1" applyAlignment="1">
      <alignment horizontal="center"/>
    </xf>
    <xf numFmtId="176" fontId="20" fillId="5" borderId="11" xfId="0" applyNumberFormat="1" applyFont="1" applyFill="1" applyBorder="1" applyAlignment="1">
      <alignment horizontal="center"/>
    </xf>
    <xf numFmtId="176" fontId="20" fillId="5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177" fontId="4" fillId="2" borderId="7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/>
    </xf>
    <xf numFmtId="176" fontId="3" fillId="0" borderId="17" xfId="0" applyNumberFormat="1" applyFont="1" applyBorder="1" applyAlignment="1">
      <alignment horizontal="center"/>
    </xf>
    <xf numFmtId="0" fontId="3" fillId="9" borderId="1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left"/>
    </xf>
    <xf numFmtId="0" fontId="15" fillId="11" borderId="11" xfId="0" applyFont="1" applyFill="1" applyBorder="1" applyAlignment="1">
      <alignment horizontal="left"/>
    </xf>
    <xf numFmtId="0" fontId="15" fillId="11" borderId="7" xfId="0" applyFont="1" applyFill="1" applyBorder="1" applyAlignment="1">
      <alignment horizontal="left"/>
    </xf>
    <xf numFmtId="0" fontId="13" fillId="11" borderId="6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176" fontId="3" fillId="3" borderId="11" xfId="0" applyNumberFormat="1" applyFont="1" applyFill="1" applyBorder="1" applyAlignment="1">
      <alignment horizontal="right"/>
    </xf>
    <xf numFmtId="176" fontId="3" fillId="3" borderId="7" xfId="0" applyNumberFormat="1" applyFont="1" applyFill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11" borderId="6" xfId="0" applyFont="1" applyFill="1" applyBorder="1" applyAlignment="1">
      <alignment horizontal="left"/>
    </xf>
    <xf numFmtId="0" fontId="13" fillId="11" borderId="11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left"/>
    </xf>
    <xf numFmtId="176" fontId="4" fillId="2" borderId="11" xfId="0" applyNumberFormat="1" applyFont="1" applyFill="1" applyBorder="1" applyAlignment="1">
      <alignment horizontal="right"/>
    </xf>
    <xf numFmtId="176" fontId="4" fillId="2" borderId="7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5" fillId="11" borderId="6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0" fontId="25" fillId="11" borderId="7" xfId="0" applyFont="1" applyFill="1" applyBorder="1" applyAlignment="1">
      <alignment horizontal="center"/>
    </xf>
    <xf numFmtId="176" fontId="11" fillId="2" borderId="11" xfId="0" applyNumberFormat="1" applyFont="1" applyFill="1" applyBorder="1" applyAlignment="1">
      <alignment horizontal="right"/>
    </xf>
    <xf numFmtId="176" fontId="11" fillId="2" borderId="7" xfId="0" applyNumberFormat="1" applyFon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23" fillId="11" borderId="6" xfId="0" applyFont="1" applyFill="1" applyBorder="1" applyAlignment="1">
      <alignment horizontal="center"/>
    </xf>
    <xf numFmtId="0" fontId="24" fillId="11" borderId="11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left" wrapText="1"/>
    </xf>
    <xf numFmtId="0" fontId="13" fillId="11" borderId="11" xfId="0" applyFont="1" applyFill="1" applyBorder="1" applyAlignment="1">
      <alignment horizontal="left" wrapText="1"/>
    </xf>
    <xf numFmtId="0" fontId="13" fillId="11" borderId="7" xfId="0" applyFont="1" applyFill="1" applyBorder="1" applyAlignment="1">
      <alignment horizontal="left" wrapText="1"/>
    </xf>
    <xf numFmtId="0" fontId="4" fillId="12" borderId="2" xfId="0" applyFont="1" applyFill="1" applyBorder="1" applyAlignment="1">
      <alignment horizontal="left" vertical="center"/>
    </xf>
    <xf numFmtId="176" fontId="4" fillId="12" borderId="12" xfId="0" applyNumberFormat="1" applyFont="1" applyFill="1" applyBorder="1" applyAlignment="1"/>
    <xf numFmtId="176" fontId="4" fillId="12" borderId="1" xfId="0" applyNumberFormat="1" applyFont="1" applyFill="1" applyBorder="1" applyAlignment="1"/>
    <xf numFmtId="176" fontId="3" fillId="12" borderId="12" xfId="0" applyNumberFormat="1" applyFont="1" applyFill="1" applyBorder="1">
      <alignment vertical="center"/>
    </xf>
    <xf numFmtId="176" fontId="3" fillId="12" borderId="12" xfId="0" applyNumberFormat="1" applyFont="1" applyFill="1" applyBorder="1" applyAlignment="1"/>
    <xf numFmtId="0" fontId="4" fillId="12" borderId="6" xfId="0" applyFont="1" applyFill="1" applyBorder="1" applyAlignment="1">
      <alignment horizontal="left" vertical="center"/>
    </xf>
    <xf numFmtId="176" fontId="3" fillId="12" borderId="9" xfId="0" applyNumberFormat="1" applyFont="1" applyFill="1" applyBorder="1" applyAlignment="1"/>
    <xf numFmtId="0" fontId="3" fillId="13" borderId="8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 shrinkToFit="1"/>
    </xf>
    <xf numFmtId="0" fontId="3" fillId="13" borderId="12" xfId="0" applyFont="1" applyFill="1" applyBorder="1">
      <alignment vertical="center"/>
    </xf>
    <xf numFmtId="176" fontId="6" fillId="13" borderId="8" xfId="0" applyNumberFormat="1" applyFont="1" applyFill="1" applyBorder="1" applyAlignment="1"/>
    <xf numFmtId="176" fontId="3" fillId="13" borderId="17" xfId="0" applyNumberFormat="1" applyFont="1" applyFill="1" applyBorder="1" applyAlignment="1"/>
    <xf numFmtId="177" fontId="3" fillId="13" borderId="18" xfId="0" applyNumberFormat="1" applyFont="1" applyFill="1" applyBorder="1" applyAlignment="1"/>
    <xf numFmtId="176" fontId="11" fillId="13" borderId="8" xfId="0" applyNumberFormat="1" applyFont="1" applyFill="1" applyBorder="1" applyAlignment="1"/>
    <xf numFmtId="9" fontId="6" fillId="13" borderId="8" xfId="0" applyNumberFormat="1" applyFont="1" applyFill="1" applyBorder="1" applyAlignment="1"/>
    <xf numFmtId="176" fontId="4" fillId="13" borderId="12" xfId="0" applyNumberFormat="1" applyFont="1" applyFill="1" applyBorder="1" applyAlignment="1"/>
    <xf numFmtId="176" fontId="6" fillId="13" borderId="12" xfId="0" applyNumberFormat="1" applyFont="1" applyFill="1" applyBorder="1" applyAlignment="1"/>
    <xf numFmtId="177" fontId="3" fillId="13" borderId="17" xfId="0" applyNumberFormat="1" applyFont="1" applyFill="1" applyBorder="1" applyAlignment="1"/>
    <xf numFmtId="176" fontId="3" fillId="13" borderId="17" xfId="0" applyNumberFormat="1" applyFont="1" applyFill="1" applyBorder="1">
      <alignment vertical="center"/>
    </xf>
    <xf numFmtId="177" fontId="3" fillId="13" borderId="17" xfId="0" applyNumberFormat="1" applyFont="1" applyFill="1" applyBorder="1">
      <alignment vertical="center"/>
    </xf>
    <xf numFmtId="177" fontId="3" fillId="13" borderId="18" xfId="0" applyNumberFormat="1" applyFont="1" applyFill="1" applyBorder="1">
      <alignment vertical="center"/>
    </xf>
    <xf numFmtId="176" fontId="4" fillId="13" borderId="1" xfId="0" applyNumberFormat="1" applyFont="1" applyFill="1" applyBorder="1" applyAlignment="1"/>
    <xf numFmtId="176" fontId="4" fillId="13" borderId="8" xfId="0" applyNumberFormat="1" applyFont="1" applyFill="1" applyBorder="1" applyAlignment="1"/>
    <xf numFmtId="176" fontId="4" fillId="13" borderId="17" xfId="0" applyNumberFormat="1" applyFont="1" applyFill="1" applyBorder="1" applyAlignment="1"/>
    <xf numFmtId="176" fontId="3" fillId="13" borderId="12" xfId="0" applyNumberFormat="1" applyFont="1" applyFill="1" applyBorder="1" applyAlignment="1">
      <alignment horizontal="right" vertical="center"/>
    </xf>
    <xf numFmtId="9" fontId="3" fillId="13" borderId="12" xfId="0" applyNumberFormat="1" applyFont="1" applyFill="1" applyBorder="1" applyAlignment="1">
      <alignment horizontal="center" vertical="center"/>
    </xf>
    <xf numFmtId="176" fontId="3" fillId="13" borderId="17" xfId="0" applyNumberFormat="1" applyFont="1" applyFill="1" applyBorder="1" applyAlignment="1">
      <alignment horizontal="right" vertical="center"/>
    </xf>
    <xf numFmtId="176" fontId="3" fillId="13" borderId="6" xfId="0" applyNumberFormat="1" applyFont="1" applyFill="1" applyBorder="1" applyAlignment="1">
      <alignment horizontal="right" vertical="center"/>
    </xf>
    <xf numFmtId="9" fontId="3" fillId="13" borderId="6" xfId="0" applyNumberFormat="1" applyFont="1" applyFill="1" applyBorder="1" applyAlignment="1">
      <alignment horizontal="right" vertical="center"/>
    </xf>
    <xf numFmtId="0" fontId="3" fillId="13" borderId="8" xfId="0" applyFont="1" applyFill="1" applyBorder="1" applyAlignment="1">
      <alignment horizontal="center" vertical="center" shrinkToFit="1"/>
    </xf>
    <xf numFmtId="0" fontId="5" fillId="13" borderId="12" xfId="0" applyFont="1" applyFill="1" applyBorder="1" applyAlignment="1">
      <alignment horizontal="center" vertical="center" wrapText="1" shrinkToFit="1"/>
    </xf>
    <xf numFmtId="176" fontId="8" fillId="13" borderId="12" xfId="0" applyNumberFormat="1" applyFont="1" applyFill="1" applyBorder="1" applyAlignment="1"/>
    <xf numFmtId="176" fontId="8" fillId="13" borderId="8" xfId="0" applyNumberFormat="1" applyFont="1" applyFill="1" applyBorder="1" applyAlignment="1"/>
    <xf numFmtId="176" fontId="8" fillId="13" borderId="17" xfId="0" applyNumberFormat="1" applyFont="1" applyFill="1" applyBorder="1" applyAlignment="1"/>
    <xf numFmtId="177" fontId="8" fillId="13" borderId="18" xfId="0" applyNumberFormat="1" applyFont="1" applyFill="1" applyBorder="1" applyAlignment="1"/>
    <xf numFmtId="9" fontId="8" fillId="13" borderId="8" xfId="0" applyNumberFormat="1" applyFont="1" applyFill="1" applyBorder="1" applyAlignment="1"/>
    <xf numFmtId="0" fontId="3" fillId="13" borderId="1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 shrinkToFit="1"/>
    </xf>
    <xf numFmtId="176" fontId="8" fillId="13" borderId="1" xfId="0" applyNumberFormat="1" applyFont="1" applyFill="1" applyBorder="1" applyAlignment="1"/>
    <xf numFmtId="176" fontId="8" fillId="12" borderId="12" xfId="0" applyNumberFormat="1" applyFont="1" applyFill="1" applyBorder="1" applyAlignment="1"/>
    <xf numFmtId="176" fontId="8" fillId="12" borderId="1" xfId="0" applyNumberFormat="1" applyFont="1" applyFill="1" applyBorder="1" applyAlignment="1"/>
    <xf numFmtId="176" fontId="8" fillId="12" borderId="12" xfId="0" applyNumberFormat="1" applyFont="1" applyFill="1" applyBorder="1">
      <alignment vertical="center"/>
    </xf>
    <xf numFmtId="0" fontId="8" fillId="12" borderId="2" xfId="0" applyFont="1" applyFill="1" applyBorder="1" applyAlignment="1">
      <alignment horizontal="left" vertical="center"/>
    </xf>
    <xf numFmtId="0" fontId="8" fillId="12" borderId="6" xfId="0" applyFont="1" applyFill="1" applyBorder="1" applyAlignment="1">
      <alignment horizontal="left" vertical="center"/>
    </xf>
    <xf numFmtId="176" fontId="6" fillId="13" borderId="8" xfId="0" applyNumberFormat="1" applyFont="1" applyFill="1" applyBorder="1">
      <alignment vertical="center"/>
    </xf>
    <xf numFmtId="0" fontId="3" fillId="4" borderId="20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1" xfId="0" applyFont="1" applyFill="1" applyBorder="1" applyAlignment="1">
      <alignment horizontal="left" vertical="top" wrapText="1"/>
    </xf>
    <xf numFmtId="176" fontId="4" fillId="13" borderId="12" xfId="0" applyNumberFormat="1" applyFont="1" applyFill="1" applyBorder="1" applyAlignment="1">
      <alignment shrinkToFit="1"/>
    </xf>
    <xf numFmtId="176" fontId="4" fillId="13" borderId="17" xfId="0" applyNumberFormat="1" applyFont="1" applyFill="1" applyBorder="1" applyAlignment="1">
      <alignment shrinkToFit="1"/>
    </xf>
    <xf numFmtId="177" fontId="11" fillId="13" borderId="8" xfId="0" applyNumberFormat="1" applyFont="1" applyFill="1" applyBorder="1" applyAlignment="1">
      <alignment shrinkToFit="1"/>
    </xf>
    <xf numFmtId="176" fontId="6" fillId="13" borderId="8" xfId="0" applyNumberFormat="1" applyFont="1" applyFill="1" applyBorder="1" applyAlignment="1">
      <alignment shrinkToFit="1"/>
    </xf>
    <xf numFmtId="176" fontId="4" fillId="13" borderId="17" xfId="0" applyNumberFormat="1" applyFont="1" applyFill="1" applyBorder="1" applyAlignment="1">
      <alignment vertical="center" shrinkToFit="1"/>
    </xf>
    <xf numFmtId="177" fontId="4" fillId="12" borderId="6" xfId="0" applyNumberFormat="1" applyFont="1" applyFill="1" applyBorder="1" applyAlignment="1">
      <alignment horizontal="center" vertical="center"/>
    </xf>
    <xf numFmtId="176" fontId="4" fillId="12" borderId="12" xfId="0" applyNumberFormat="1" applyFont="1" applyFill="1" applyBorder="1" applyAlignment="1">
      <alignment shrinkToFit="1"/>
    </xf>
    <xf numFmtId="176" fontId="8" fillId="13" borderId="12" xfId="0" applyNumberFormat="1" applyFont="1" applyFill="1" applyBorder="1" applyAlignment="1">
      <alignment horizontal="right" vertical="top" wrapText="1"/>
    </xf>
    <xf numFmtId="176" fontId="8" fillId="13" borderId="12" xfId="0" applyNumberFormat="1" applyFont="1" applyFill="1" applyBorder="1" applyAlignment="1">
      <alignment horizontal="left" vertical="top" wrapText="1"/>
    </xf>
    <xf numFmtId="178" fontId="4" fillId="13" borderId="12" xfId="0" applyNumberFormat="1" applyFont="1" applyFill="1" applyBorder="1" applyAlignment="1"/>
    <xf numFmtId="178" fontId="11" fillId="13" borderId="8" xfId="0" applyNumberFormat="1" applyFont="1" applyFill="1" applyBorder="1" applyAlignment="1"/>
    <xf numFmtId="10" fontId="6" fillId="13" borderId="8" xfId="0" applyNumberFormat="1" applyFont="1" applyFill="1" applyBorder="1" applyAlignment="1"/>
    <xf numFmtId="0" fontId="3" fillId="13" borderId="6" xfId="0" applyFont="1" applyFill="1" applyBorder="1" applyAlignment="1">
      <alignment horizontal="left" vertical="center"/>
    </xf>
    <xf numFmtId="176" fontId="4" fillId="13" borderId="9" xfId="0" applyNumberFormat="1" applyFont="1" applyFill="1" applyBorder="1" applyAlignment="1"/>
    <xf numFmtId="176" fontId="4" fillId="13" borderId="15" xfId="0" applyNumberFormat="1" applyFont="1" applyFill="1" applyBorder="1" applyAlignment="1"/>
    <xf numFmtId="176" fontId="4" fillId="13" borderId="7" xfId="0" applyNumberFormat="1" applyFont="1" applyFill="1" applyBorder="1" applyAlignment="1"/>
    <xf numFmtId="176" fontId="4" fillId="13" borderId="10" xfId="0" applyNumberFormat="1" applyFont="1" applyFill="1" applyBorder="1" applyAlignment="1"/>
    <xf numFmtId="176" fontId="4" fillId="13" borderId="29" xfId="0" applyNumberFormat="1" applyFont="1" applyFill="1" applyBorder="1" applyAlignment="1"/>
    <xf numFmtId="0" fontId="6" fillId="13" borderId="12" xfId="0" applyFont="1" applyFill="1" applyBorder="1" applyAlignment="1">
      <alignment horizontal="center" vertical="center"/>
    </xf>
    <xf numFmtId="177" fontId="4" fillId="13" borderId="8" xfId="0" applyNumberFormat="1" applyFont="1" applyFill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 shrinkToFit="1"/>
    </xf>
    <xf numFmtId="176" fontId="4" fillId="13" borderId="11" xfId="0" applyNumberFormat="1" applyFont="1" applyFill="1" applyBorder="1" applyAlignment="1"/>
    <xf numFmtId="176" fontId="4" fillId="13" borderId="12" xfId="0" applyNumberFormat="1" applyFont="1" applyFill="1" applyBorder="1" applyAlignment="1">
      <alignment horizontal="center"/>
    </xf>
    <xf numFmtId="0" fontId="3" fillId="13" borderId="6" xfId="0" applyFont="1" applyFill="1" applyBorder="1" applyAlignment="1">
      <alignment horizontal="left"/>
    </xf>
    <xf numFmtId="176" fontId="3" fillId="13" borderId="6" xfId="0" applyNumberFormat="1" applyFont="1" applyFill="1" applyBorder="1" applyAlignment="1">
      <alignment horizontal="right"/>
    </xf>
    <xf numFmtId="176" fontId="4" fillId="12" borderId="6" xfId="0" applyNumberFormat="1" applyFont="1" applyFill="1" applyBorder="1" applyAlignment="1">
      <alignment horizontal="right"/>
    </xf>
    <xf numFmtId="176" fontId="11" fillId="12" borderId="6" xfId="0" applyNumberFormat="1" applyFont="1" applyFill="1" applyBorder="1" applyAlignment="1">
      <alignment horizontal="right"/>
    </xf>
    <xf numFmtId="177" fontId="4" fillId="12" borderId="8" xfId="0" applyNumberFormat="1" applyFont="1" applyFill="1" applyBorder="1" applyAlignment="1">
      <alignment horizontal="right" vertical="center"/>
    </xf>
    <xf numFmtId="176" fontId="4" fillId="12" borderId="7" xfId="0" applyNumberFormat="1" applyFont="1" applyFill="1" applyBorder="1" applyAlignment="1"/>
    <xf numFmtId="176" fontId="4" fillId="12" borderId="8" xfId="0" applyNumberFormat="1" applyFont="1" applyFill="1" applyBorder="1" applyAlignment="1"/>
    <xf numFmtId="176" fontId="4" fillId="12" borderId="17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FF99"/>
      <color rgb="FFFFFF00"/>
      <color rgb="FFFF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5</xdr:row>
      <xdr:rowOff>68580</xdr:rowOff>
    </xdr:from>
    <xdr:to>
      <xdr:col>9</xdr:col>
      <xdr:colOff>640080</xdr:colOff>
      <xdr:row>7</xdr:row>
      <xdr:rowOff>152400</xdr:rowOff>
    </xdr:to>
    <xdr:cxnSp macro="">
      <xdr:nvCxnSpPr>
        <xdr:cNvPr id="3" name="カギ線コネクタ 2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22</xdr:row>
      <xdr:rowOff>68580</xdr:rowOff>
    </xdr:from>
    <xdr:to>
      <xdr:col>9</xdr:col>
      <xdr:colOff>640080</xdr:colOff>
      <xdr:row>24</xdr:row>
      <xdr:rowOff>152400</xdr:rowOff>
    </xdr:to>
    <xdr:cxnSp macro="">
      <xdr:nvCxnSpPr>
        <xdr:cNvPr id="5" name="カギ線コネクタ 4"/>
        <xdr:cNvCxnSpPr/>
      </xdr:nvCxnSpPr>
      <xdr:spPr>
        <a:xfrm rot="5400000">
          <a:off x="4819650" y="1207770"/>
          <a:ext cx="434340" cy="259080"/>
        </a:xfrm>
        <a:prstGeom prst="bentConnector3">
          <a:avLst>
            <a:gd name="adj1" fmla="val -877"/>
          </a:avLst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358140</xdr:colOff>
      <xdr:row>40</xdr:row>
      <xdr:rowOff>99060</xdr:rowOff>
    </xdr:from>
    <xdr:to>
      <xdr:col>10</xdr:col>
      <xdr:colOff>655320</xdr:colOff>
      <xdr:row>40</xdr:row>
      <xdr:rowOff>99060</xdr:rowOff>
    </xdr:to>
    <xdr:cxnSp macro="">
      <xdr:nvCxnSpPr>
        <xdr:cNvPr id="10" name="直線コネクタ 9"/>
        <xdr:cNvCxnSpPr/>
      </xdr:nvCxnSpPr>
      <xdr:spPr>
        <a:xfrm flipH="1">
          <a:off x="5547360" y="8435340"/>
          <a:ext cx="29718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350520</xdr:colOff>
      <xdr:row>40</xdr:row>
      <xdr:rowOff>106680</xdr:rowOff>
    </xdr:from>
    <xdr:to>
      <xdr:col>10</xdr:col>
      <xdr:colOff>350520</xdr:colOff>
      <xdr:row>41</xdr:row>
      <xdr:rowOff>45720</xdr:rowOff>
    </xdr:to>
    <xdr:cxnSp macro="">
      <xdr:nvCxnSpPr>
        <xdr:cNvPr id="13" name="直線矢印コネクタ 12"/>
        <xdr:cNvCxnSpPr/>
      </xdr:nvCxnSpPr>
      <xdr:spPr>
        <a:xfrm>
          <a:off x="5539740" y="8442960"/>
          <a:ext cx="0" cy="12954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bama/Documents/&#9734;&#20104;&#31639;&#20250;&#35336;&#26360;&#31821;/&#25913;&#35330;&#29256;&#12300;&#20104;&#31639;&#20250;&#35336;&#12301;/&#9734;&#25913;&#35330;&#22679;&#35036;&#12300;&#20104;&#31639;&#20250;&#35336;&#12301;&#28436;&#32722;&#29256;/&#26032;&#65306;&#25913;&#35330;&#22679;&#35036;&#29256;/EXCEL&#40165;&#30640;&#22259;&#65286;&#38306;&#36899;&#20104;&#31639;&#36039;&#26009;&#65288;&#22770;&#19978;&#39640;&#38306;&#20418;&#65289;/&#31532;&#65298;&#22238;/&#37197;&#20449;&#29992;&#12304;&#20104;&#31639;&#20250;&#35336;&#20250;&#21729;&#29992;&#12305;&#36039;&#26009;&#65326;&#65327;&#65294;&#65298;&#65306;&#20104;&#31639;&#34920;&#65288;&#22770;&#19978;&#39640;&#12539;&#22770;&#25499;&#37329;&#38306;&#20418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実績予想売上関係"/>
      <sheetName val="2実績予想損益計算書等"/>
      <sheetName val="3実績予想在庫計画書"/>
      <sheetName val="4実績予想売上代金回収関係"/>
      <sheetName val="5実績予想消費税等"/>
      <sheetName val="6実績予想資計・ＦＳ"/>
      <sheetName val="7実績予想CF等"/>
    </sheetNames>
    <sheetDataSet>
      <sheetData sheetId="0">
        <row r="17">
          <cell r="J17">
            <v>115500</v>
          </cell>
          <cell r="L17">
            <v>1881</v>
          </cell>
          <cell r="M17">
            <v>3700</v>
          </cell>
          <cell r="N17">
            <v>1919</v>
          </cell>
        </row>
        <row r="34">
          <cell r="J34">
            <v>49500</v>
          </cell>
          <cell r="L34">
            <v>5000</v>
          </cell>
          <cell r="M34">
            <v>1000</v>
          </cell>
          <cell r="N34">
            <v>1000</v>
          </cell>
        </row>
        <row r="48">
          <cell r="I48">
            <v>0</v>
          </cell>
          <cell r="J48">
            <v>1500</v>
          </cell>
          <cell r="K48">
            <v>855</v>
          </cell>
          <cell r="L48">
            <v>69</v>
          </cell>
          <cell r="M48">
            <v>47</v>
          </cell>
          <cell r="N48">
            <v>29</v>
          </cell>
          <cell r="T48" t="str">
            <v>1
2</v>
          </cell>
          <cell r="U48" t="str">
            <v>予算設定
実績</v>
          </cell>
          <cell r="V48" t="str">
            <v>具体的戦略欠如
Ｚ社キャンセル</v>
          </cell>
          <cell r="W48" t="str">
            <v>Ｗ社・Ｚ社の購買責任者と直接交渉を行なう</v>
          </cell>
          <cell r="X48" t="str">
            <v>具体的戦略・行動計画を多角的に営業部門全体でつめる</v>
          </cell>
        </row>
      </sheetData>
      <sheetData sheetId="1"/>
      <sheetData sheetId="2"/>
      <sheetData sheetId="3">
        <row r="84">
          <cell r="I84">
            <v>0</v>
          </cell>
        </row>
        <row r="85">
          <cell r="I85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X56"/>
  <sheetViews>
    <sheetView workbookViewId="0">
      <selection activeCell="K21" sqref="K21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9" width="10.5" customWidth="1"/>
    <col min="10" max="10" width="10.875" customWidth="1"/>
    <col min="11" max="14" width="11.125" customWidth="1"/>
    <col min="15" max="15" width="12.75" customWidth="1"/>
    <col min="16" max="16" width="10.125" customWidth="1"/>
    <col min="17" max="17" width="9.875" customWidth="1"/>
    <col min="18" max="18" width="15.875" customWidth="1"/>
    <col min="19" max="19" width="11.25" customWidth="1"/>
    <col min="20" max="20" width="4.25" customWidth="1"/>
    <col min="21" max="21" width="9.75" customWidth="1"/>
    <col min="22" max="22" width="17.625" customWidth="1"/>
    <col min="23" max="23" width="23.75" customWidth="1"/>
    <col min="24" max="24" width="22.75" customWidth="1"/>
  </cols>
  <sheetData>
    <row r="2" spans="3:24" ht="24" x14ac:dyDescent="0.15">
      <c r="C2" s="155" t="s">
        <v>573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3:24" ht="2.4500000000000002" customHeight="1" thickBot="1" x14ac:dyDescent="0.2"/>
    <row r="4" spans="3:24" ht="18" thickBot="1" x14ac:dyDescent="0.2">
      <c r="D4" s="1" t="s">
        <v>97</v>
      </c>
      <c r="E4" s="367" t="s">
        <v>98</v>
      </c>
      <c r="F4" s="156"/>
      <c r="G4" s="156"/>
      <c r="H4" s="157"/>
      <c r="I4" s="158"/>
      <c r="J4" s="2"/>
      <c r="T4" s="153" t="s">
        <v>99</v>
      </c>
      <c r="U4" s="154"/>
      <c r="V4" s="3" t="s">
        <v>100</v>
      </c>
      <c r="W4" s="3" t="s">
        <v>101</v>
      </c>
      <c r="X4" s="3" t="s">
        <v>102</v>
      </c>
    </row>
    <row r="5" spans="3:24" ht="18" thickBot="1" x14ac:dyDescent="0.2">
      <c r="D5" s="1" t="s">
        <v>103</v>
      </c>
      <c r="E5" s="367" t="s">
        <v>104</v>
      </c>
      <c r="F5" s="156"/>
      <c r="G5" s="156"/>
      <c r="H5" s="157"/>
      <c r="I5" s="158"/>
      <c r="J5" s="2"/>
      <c r="T5" s="153" t="s">
        <v>105</v>
      </c>
      <c r="U5" s="154"/>
      <c r="V5" s="3" t="s">
        <v>106</v>
      </c>
      <c r="W5" s="3" t="s">
        <v>107</v>
      </c>
      <c r="X5" s="3" t="s">
        <v>97</v>
      </c>
    </row>
    <row r="6" spans="3:24" ht="14.25" thickBot="1" x14ac:dyDescent="0.2">
      <c r="D6" s="4" t="s">
        <v>108</v>
      </c>
      <c r="E6" s="152" t="s">
        <v>109</v>
      </c>
      <c r="F6" s="152"/>
      <c r="G6" s="152"/>
      <c r="H6" s="152"/>
      <c r="I6" s="152"/>
      <c r="J6" s="2"/>
      <c r="T6" s="153" t="s">
        <v>110</v>
      </c>
      <c r="U6" s="154"/>
      <c r="V6" s="3" t="s">
        <v>111</v>
      </c>
      <c r="W6" s="3" t="s">
        <v>111</v>
      </c>
      <c r="X6" s="374" t="str">
        <f>+E4</f>
        <v>田辺雄一</v>
      </c>
    </row>
    <row r="7" spans="3:24" ht="14.25" thickBot="1" x14ac:dyDescent="0.2">
      <c r="D7" s="159" t="s">
        <v>112</v>
      </c>
      <c r="E7" s="160"/>
      <c r="F7" s="160"/>
      <c r="G7" s="160"/>
      <c r="H7" s="160"/>
      <c r="I7" s="161"/>
      <c r="J7" s="2"/>
      <c r="T7" s="153" t="s">
        <v>113</v>
      </c>
      <c r="U7" s="154"/>
      <c r="V7" s="3" t="s">
        <v>114</v>
      </c>
      <c r="W7" s="3" t="s">
        <v>114</v>
      </c>
      <c r="X7" s="3" t="s">
        <v>114</v>
      </c>
    </row>
    <row r="9" spans="3:24" x14ac:dyDescent="0.15">
      <c r="C9" s="162" t="s">
        <v>115</v>
      </c>
      <c r="D9" s="165" t="s">
        <v>116</v>
      </c>
      <c r="E9" s="168" t="s">
        <v>117</v>
      </c>
      <c r="F9" s="168" t="s">
        <v>118</v>
      </c>
      <c r="G9" s="162" t="s">
        <v>119</v>
      </c>
      <c r="H9" s="162" t="s">
        <v>120</v>
      </c>
      <c r="I9" s="162" t="s">
        <v>121</v>
      </c>
      <c r="J9" s="162" t="s">
        <v>122</v>
      </c>
      <c r="K9" s="5" t="s">
        <v>21</v>
      </c>
      <c r="L9" s="5" t="s">
        <v>38</v>
      </c>
      <c r="M9" s="5" t="s">
        <v>38</v>
      </c>
      <c r="N9" s="5" t="s">
        <v>38</v>
      </c>
      <c r="O9" s="162" t="s">
        <v>123</v>
      </c>
      <c r="P9" s="162" t="s">
        <v>124</v>
      </c>
      <c r="Q9" s="162" t="s">
        <v>125</v>
      </c>
      <c r="R9" s="162" t="s">
        <v>126</v>
      </c>
      <c r="S9" s="162" t="s">
        <v>127</v>
      </c>
      <c r="T9" s="171" t="s">
        <v>128</v>
      </c>
      <c r="U9" s="172"/>
      <c r="V9" s="172"/>
      <c r="W9" s="172"/>
      <c r="X9" s="173"/>
    </row>
    <row r="10" spans="3:24" x14ac:dyDescent="0.15">
      <c r="C10" s="163"/>
      <c r="D10" s="166"/>
      <c r="E10" s="169"/>
      <c r="F10" s="169"/>
      <c r="G10" s="166"/>
      <c r="H10" s="166"/>
      <c r="I10" s="166"/>
      <c r="J10" s="166"/>
      <c r="K10" s="5" t="s">
        <v>129</v>
      </c>
      <c r="L10" s="5" t="s">
        <v>130</v>
      </c>
      <c r="M10" s="5" t="s">
        <v>131</v>
      </c>
      <c r="N10" s="5" t="s">
        <v>132</v>
      </c>
      <c r="O10" s="163"/>
      <c r="P10" s="163"/>
      <c r="Q10" s="163"/>
      <c r="R10" s="163"/>
      <c r="S10" s="163"/>
      <c r="T10" s="174"/>
      <c r="U10" s="175"/>
      <c r="V10" s="175"/>
      <c r="W10" s="175"/>
      <c r="X10" s="176"/>
    </row>
    <row r="11" spans="3:24" x14ac:dyDescent="0.15">
      <c r="C11" s="164"/>
      <c r="D11" s="167"/>
      <c r="E11" s="170"/>
      <c r="F11" s="170"/>
      <c r="G11" s="167"/>
      <c r="H11" s="167"/>
      <c r="I11" s="167"/>
      <c r="J11" s="167"/>
      <c r="K11" s="5" t="s">
        <v>133</v>
      </c>
      <c r="L11" s="5" t="s">
        <v>134</v>
      </c>
      <c r="M11" s="5" t="s">
        <v>134</v>
      </c>
      <c r="N11" s="5" t="s">
        <v>134</v>
      </c>
      <c r="O11" s="164"/>
      <c r="P11" s="164"/>
      <c r="Q11" s="164"/>
      <c r="R11" s="164"/>
      <c r="S11" s="164"/>
      <c r="T11" s="177"/>
      <c r="U11" s="178"/>
      <c r="V11" s="178"/>
      <c r="W11" s="178"/>
      <c r="X11" s="179"/>
    </row>
    <row r="12" spans="3:24" ht="27" x14ac:dyDescent="0.15">
      <c r="C12" s="6"/>
      <c r="D12" s="6"/>
      <c r="E12" s="6"/>
      <c r="F12" s="6"/>
      <c r="G12" s="6"/>
      <c r="H12" s="6"/>
      <c r="I12" s="375" t="s">
        <v>135</v>
      </c>
      <c r="J12" s="375" t="s">
        <v>136</v>
      </c>
      <c r="K12" s="375" t="s">
        <v>137</v>
      </c>
      <c r="L12" s="375" t="s">
        <v>138</v>
      </c>
      <c r="M12" s="375" t="s">
        <v>139</v>
      </c>
      <c r="N12" s="375" t="s">
        <v>140</v>
      </c>
      <c r="O12" s="376" t="s">
        <v>141</v>
      </c>
      <c r="P12" s="377" t="s">
        <v>142</v>
      </c>
      <c r="Q12" s="377" t="s">
        <v>143</v>
      </c>
      <c r="R12" s="375" t="s">
        <v>144</v>
      </c>
      <c r="S12" s="377" t="s">
        <v>145</v>
      </c>
      <c r="T12" s="378" t="s">
        <v>115</v>
      </c>
      <c r="U12" s="375" t="s">
        <v>146</v>
      </c>
      <c r="V12" s="375" t="s">
        <v>147</v>
      </c>
      <c r="W12" s="375" t="s">
        <v>148</v>
      </c>
      <c r="X12" s="375" t="s">
        <v>149</v>
      </c>
    </row>
    <row r="13" spans="3:24" ht="1.9" customHeight="1" thickBot="1" x14ac:dyDescent="0.2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6"/>
      <c r="Q13" s="6"/>
      <c r="R13" s="7"/>
      <c r="S13" s="7"/>
      <c r="T13" s="6"/>
      <c r="U13" s="6"/>
      <c r="V13" s="6"/>
      <c r="W13" s="6"/>
      <c r="X13" s="6"/>
    </row>
    <row r="14" spans="3:24" ht="27.75" thickBot="1" x14ac:dyDescent="0.25">
      <c r="C14" s="36" t="s">
        <v>150</v>
      </c>
      <c r="D14" s="37" t="s">
        <v>151</v>
      </c>
      <c r="E14" s="38" t="s">
        <v>152</v>
      </c>
      <c r="F14" s="39" t="s">
        <v>153</v>
      </c>
      <c r="G14" s="39"/>
      <c r="H14" s="39"/>
      <c r="I14" s="368"/>
      <c r="J14" s="368">
        <v>1050</v>
      </c>
      <c r="K14" s="368">
        <v>625</v>
      </c>
      <c r="L14" s="368">
        <v>19</v>
      </c>
      <c r="M14" s="368">
        <v>37</v>
      </c>
      <c r="N14" s="369">
        <v>19</v>
      </c>
      <c r="O14" s="379">
        <f>SUM(K14:N14)</f>
        <v>700</v>
      </c>
      <c r="P14" s="380" t="str">
        <f>IF(I14="","",+O14-I14)</f>
        <v/>
      </c>
      <c r="Q14" s="381" t="str">
        <f>IF(OR(I14="",P14=""),"",ROUND(P14/I14,3))</f>
        <v/>
      </c>
      <c r="R14" s="382">
        <f>+O14-J14</f>
        <v>-350</v>
      </c>
      <c r="S14" s="383">
        <f>IF(OR(J14="",R14=""),"",ROUND(R14/J14,2))</f>
        <v>-0.33</v>
      </c>
      <c r="T14" s="40">
        <v>1</v>
      </c>
      <c r="U14" s="41" t="s">
        <v>154</v>
      </c>
      <c r="V14" s="42" t="s">
        <v>155</v>
      </c>
      <c r="W14" s="43" t="s">
        <v>156</v>
      </c>
      <c r="X14" s="43" t="s">
        <v>157</v>
      </c>
    </row>
    <row r="15" spans="3:24" ht="36.6" customHeight="1" thickBot="1" x14ac:dyDescent="0.25">
      <c r="C15" s="36" t="s">
        <v>158</v>
      </c>
      <c r="D15" s="37" t="s">
        <v>159</v>
      </c>
      <c r="E15" s="38" t="s">
        <v>160</v>
      </c>
      <c r="F15" s="39" t="s">
        <v>161</v>
      </c>
      <c r="G15" s="39"/>
      <c r="H15" s="39"/>
      <c r="I15" s="384" t="str">
        <f>IF(OR(I14="",I14=0),"",ROUND(I17/I14,0))</f>
        <v/>
      </c>
      <c r="J15" s="384">
        <f>IF(OR(J14="",J14=0),"",ROUND(J17/J14,0))</f>
        <v>110</v>
      </c>
      <c r="K15" s="384">
        <f>IF(OR(K14="",K14=0),"",ROUND(K17/K14,0))</f>
        <v>100</v>
      </c>
      <c r="L15" s="368">
        <v>99</v>
      </c>
      <c r="M15" s="368">
        <v>100</v>
      </c>
      <c r="N15" s="368">
        <v>101</v>
      </c>
      <c r="O15" s="385">
        <f>IF(OR(O14="",O14=0),"",ROUND(O17/O14,0))</f>
        <v>100</v>
      </c>
      <c r="P15" s="380" t="str">
        <f>IF(I15="","",+O15-I15)</f>
        <v/>
      </c>
      <c r="Q15" s="386" t="str">
        <f>IF(OR(I15="",P15=""),"",ROUND(P15/I15,3))</f>
        <v/>
      </c>
      <c r="R15" s="382">
        <f>+O15-J15</f>
        <v>-10</v>
      </c>
      <c r="S15" s="383">
        <f>IF(OR(J15="",R15=""),"",ROUND(R15/J15,2))</f>
        <v>-0.09</v>
      </c>
      <c r="T15" s="40">
        <v>1</v>
      </c>
      <c r="U15" s="41" t="s">
        <v>154</v>
      </c>
      <c r="V15" s="44" t="s">
        <v>162</v>
      </c>
      <c r="W15" s="45" t="s">
        <v>163</v>
      </c>
      <c r="X15" s="43" t="s">
        <v>164</v>
      </c>
    </row>
    <row r="16" spans="3:24" ht="14.25" thickBot="1" x14ac:dyDescent="0.2">
      <c r="C16" s="46" t="s">
        <v>165</v>
      </c>
      <c r="D16" s="47" t="s">
        <v>166</v>
      </c>
      <c r="E16" s="39" t="s">
        <v>160</v>
      </c>
      <c r="F16" s="39" t="s">
        <v>161</v>
      </c>
      <c r="G16" s="39"/>
      <c r="H16" s="39"/>
      <c r="I16" s="48"/>
      <c r="J16" s="48"/>
      <c r="K16" s="48"/>
      <c r="L16" s="370"/>
      <c r="M16" s="370"/>
      <c r="N16" s="370"/>
      <c r="O16" s="48"/>
      <c r="P16" s="48"/>
      <c r="Q16" s="48"/>
      <c r="R16" s="49"/>
      <c r="S16" s="48"/>
      <c r="T16" s="48"/>
      <c r="U16" s="48"/>
      <c r="V16" s="48"/>
      <c r="W16" s="48"/>
      <c r="X16" s="48"/>
    </row>
    <row r="17" spans="3:24" ht="35.25" thickBot="1" x14ac:dyDescent="0.25">
      <c r="C17" s="36" t="s">
        <v>167</v>
      </c>
      <c r="D17" s="50" t="s">
        <v>168</v>
      </c>
      <c r="E17" s="38" t="s">
        <v>160</v>
      </c>
      <c r="F17" s="39" t="s">
        <v>161</v>
      </c>
      <c r="G17" s="39" t="s">
        <v>169</v>
      </c>
      <c r="H17" s="51" t="s">
        <v>120</v>
      </c>
      <c r="I17" s="368"/>
      <c r="J17" s="368">
        <v>115500</v>
      </c>
      <c r="K17" s="368">
        <v>62500</v>
      </c>
      <c r="L17" s="384">
        <f>IF(OR(L14="",L15=""),"",ROUND(L14*L15,0)+L16)</f>
        <v>1881</v>
      </c>
      <c r="M17" s="384">
        <f>IF(OR(M14="",M15=""),"",ROUND(M14*M15,0)+M16)</f>
        <v>3700</v>
      </c>
      <c r="N17" s="384">
        <f>IF(OR(N14="",N15=""),"",ROUND(N14*N15,0)+N16)</f>
        <v>1919</v>
      </c>
      <c r="O17" s="379">
        <f>SUM(K17:N17)</f>
        <v>70000</v>
      </c>
      <c r="P17" s="387" t="str">
        <f>IF(I17="","",+O17-I17)</f>
        <v/>
      </c>
      <c r="Q17" s="388" t="str">
        <f>IF(OR(I17="",P17=""),"",ROUND(P17/I17,3))</f>
        <v/>
      </c>
      <c r="R17" s="382">
        <f>+O17-J17</f>
        <v>-45500</v>
      </c>
      <c r="S17" s="383">
        <f>IF(OR(J17="",R17=""),"",ROUND(R17/J17,2))</f>
        <v>-0.39</v>
      </c>
      <c r="T17" s="48"/>
      <c r="U17" s="52" t="s">
        <v>170</v>
      </c>
      <c r="V17" s="52" t="s">
        <v>170</v>
      </c>
      <c r="W17" s="52" t="s">
        <v>170</v>
      </c>
      <c r="X17" s="52" t="s">
        <v>170</v>
      </c>
    </row>
    <row r="19" spans="3:24" ht="24" x14ac:dyDescent="0.15">
      <c r="C19" s="155" t="s">
        <v>574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</row>
    <row r="20" spans="3:24" ht="1.9" customHeight="1" thickBot="1" x14ac:dyDescent="0.2"/>
    <row r="21" spans="3:24" ht="18" thickBot="1" x14ac:dyDescent="0.2">
      <c r="D21" s="1" t="s">
        <v>97</v>
      </c>
      <c r="E21" s="367" t="s">
        <v>171</v>
      </c>
      <c r="F21" s="156"/>
      <c r="G21" s="156"/>
      <c r="H21" s="157"/>
      <c r="I21" s="158"/>
      <c r="J21" s="2"/>
      <c r="T21" s="153" t="s">
        <v>99</v>
      </c>
      <c r="U21" s="154"/>
      <c r="V21" s="3" t="s">
        <v>100</v>
      </c>
      <c r="W21" s="3" t="s">
        <v>101</v>
      </c>
      <c r="X21" s="3" t="s">
        <v>102</v>
      </c>
    </row>
    <row r="22" spans="3:24" ht="18" thickBot="1" x14ac:dyDescent="0.2">
      <c r="D22" s="1" t="s">
        <v>103</v>
      </c>
      <c r="E22" s="367" t="s">
        <v>172</v>
      </c>
      <c r="F22" s="156"/>
      <c r="G22" s="156"/>
      <c r="H22" s="157"/>
      <c r="I22" s="158"/>
      <c r="J22" s="2"/>
      <c r="T22" s="153" t="s">
        <v>105</v>
      </c>
      <c r="U22" s="154"/>
      <c r="V22" s="3" t="s">
        <v>106</v>
      </c>
      <c r="W22" s="3" t="s">
        <v>107</v>
      </c>
      <c r="X22" s="3" t="s">
        <v>97</v>
      </c>
    </row>
    <row r="23" spans="3:24" ht="14.25" thickBot="1" x14ac:dyDescent="0.2">
      <c r="D23" s="4" t="s">
        <v>108</v>
      </c>
      <c r="E23" s="152" t="s">
        <v>109</v>
      </c>
      <c r="F23" s="152"/>
      <c r="G23" s="152"/>
      <c r="H23" s="152"/>
      <c r="I23" s="152"/>
      <c r="J23" s="2"/>
      <c r="T23" s="153" t="s">
        <v>110</v>
      </c>
      <c r="U23" s="154"/>
      <c r="V23" s="3" t="s">
        <v>111</v>
      </c>
      <c r="W23" s="3" t="s">
        <v>111</v>
      </c>
      <c r="X23" s="374" t="str">
        <f>+E21</f>
        <v>鈴木一也</v>
      </c>
    </row>
    <row r="24" spans="3:24" ht="14.25" thickBot="1" x14ac:dyDescent="0.2">
      <c r="D24" s="159" t="s">
        <v>112</v>
      </c>
      <c r="E24" s="160"/>
      <c r="F24" s="160"/>
      <c r="G24" s="160"/>
      <c r="H24" s="160"/>
      <c r="I24" s="161"/>
      <c r="J24" s="2"/>
      <c r="T24" s="153" t="s">
        <v>113</v>
      </c>
      <c r="U24" s="154"/>
      <c r="V24" s="3" t="s">
        <v>114</v>
      </c>
      <c r="W24" s="3" t="s">
        <v>114</v>
      </c>
      <c r="X24" s="3" t="s">
        <v>114</v>
      </c>
    </row>
    <row r="25" spans="3:24" ht="1.9" customHeight="1" x14ac:dyDescent="0.15"/>
    <row r="26" spans="3:24" x14ac:dyDescent="0.15">
      <c r="C26" s="162" t="s">
        <v>115</v>
      </c>
      <c r="D26" s="165" t="s">
        <v>116</v>
      </c>
      <c r="E26" s="168" t="s">
        <v>117</v>
      </c>
      <c r="F26" s="168" t="s">
        <v>118</v>
      </c>
      <c r="G26" s="162" t="s">
        <v>119</v>
      </c>
      <c r="H26" s="162" t="s">
        <v>120</v>
      </c>
      <c r="I26" s="162" t="s">
        <v>121</v>
      </c>
      <c r="J26" s="162" t="s">
        <v>122</v>
      </c>
      <c r="K26" s="5" t="s">
        <v>21</v>
      </c>
      <c r="L26" s="5" t="s">
        <v>38</v>
      </c>
      <c r="M26" s="5" t="s">
        <v>38</v>
      </c>
      <c r="N26" s="5" t="s">
        <v>38</v>
      </c>
      <c r="O26" s="162" t="s">
        <v>123</v>
      </c>
      <c r="P26" s="162" t="s">
        <v>124</v>
      </c>
      <c r="Q26" s="162" t="s">
        <v>125</v>
      </c>
      <c r="R26" s="162" t="s">
        <v>126</v>
      </c>
      <c r="S26" s="162" t="s">
        <v>127</v>
      </c>
      <c r="T26" s="171" t="s">
        <v>128</v>
      </c>
      <c r="U26" s="172"/>
      <c r="V26" s="172"/>
      <c r="W26" s="172"/>
      <c r="X26" s="173"/>
    </row>
    <row r="27" spans="3:24" x14ac:dyDescent="0.15">
      <c r="C27" s="163"/>
      <c r="D27" s="166"/>
      <c r="E27" s="169"/>
      <c r="F27" s="169"/>
      <c r="G27" s="166"/>
      <c r="H27" s="166"/>
      <c r="I27" s="166"/>
      <c r="J27" s="166"/>
      <c r="K27" s="5" t="s">
        <v>129</v>
      </c>
      <c r="L27" s="5" t="s">
        <v>130</v>
      </c>
      <c r="M27" s="5" t="s">
        <v>131</v>
      </c>
      <c r="N27" s="5" t="s">
        <v>132</v>
      </c>
      <c r="O27" s="163"/>
      <c r="P27" s="163"/>
      <c r="Q27" s="163"/>
      <c r="R27" s="163"/>
      <c r="S27" s="163"/>
      <c r="T27" s="174"/>
      <c r="U27" s="175"/>
      <c r="V27" s="175"/>
      <c r="W27" s="175"/>
      <c r="X27" s="176"/>
    </row>
    <row r="28" spans="3:24" x14ac:dyDescent="0.15">
      <c r="C28" s="164"/>
      <c r="D28" s="167"/>
      <c r="E28" s="170"/>
      <c r="F28" s="170"/>
      <c r="G28" s="167"/>
      <c r="H28" s="167"/>
      <c r="I28" s="167"/>
      <c r="J28" s="167"/>
      <c r="K28" s="5" t="s">
        <v>133</v>
      </c>
      <c r="L28" s="5" t="s">
        <v>134</v>
      </c>
      <c r="M28" s="5" t="s">
        <v>134</v>
      </c>
      <c r="N28" s="5" t="s">
        <v>134</v>
      </c>
      <c r="O28" s="164"/>
      <c r="P28" s="164"/>
      <c r="Q28" s="164"/>
      <c r="R28" s="164"/>
      <c r="S28" s="164"/>
      <c r="T28" s="177"/>
      <c r="U28" s="178"/>
      <c r="V28" s="178"/>
      <c r="W28" s="178"/>
      <c r="X28" s="179"/>
    </row>
    <row r="29" spans="3:24" ht="27" x14ac:dyDescent="0.15">
      <c r="C29" s="6"/>
      <c r="D29" s="6"/>
      <c r="E29" s="6"/>
      <c r="F29" s="6"/>
      <c r="G29" s="6"/>
      <c r="H29" s="6"/>
      <c r="I29" s="375" t="s">
        <v>135</v>
      </c>
      <c r="J29" s="375" t="s">
        <v>136</v>
      </c>
      <c r="K29" s="375" t="s">
        <v>137</v>
      </c>
      <c r="L29" s="375" t="s">
        <v>138</v>
      </c>
      <c r="M29" s="375" t="s">
        <v>139</v>
      </c>
      <c r="N29" s="375" t="s">
        <v>140</v>
      </c>
      <c r="O29" s="375" t="s">
        <v>173</v>
      </c>
      <c r="P29" s="377" t="s">
        <v>142</v>
      </c>
      <c r="Q29" s="377" t="s">
        <v>143</v>
      </c>
      <c r="R29" s="375" t="s">
        <v>144</v>
      </c>
      <c r="S29" s="377" t="s">
        <v>145</v>
      </c>
      <c r="T29" s="378" t="s">
        <v>115</v>
      </c>
      <c r="U29" s="375" t="s">
        <v>146</v>
      </c>
      <c r="V29" s="375" t="s">
        <v>147</v>
      </c>
      <c r="W29" s="375" t="s">
        <v>148</v>
      </c>
      <c r="X29" s="375" t="s">
        <v>149</v>
      </c>
    </row>
    <row r="30" spans="3:24" ht="1.9" customHeight="1" thickBot="1" x14ac:dyDescent="0.2"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6"/>
      <c r="Q30" s="6"/>
      <c r="R30" s="7"/>
      <c r="S30" s="7"/>
      <c r="T30" s="6"/>
      <c r="U30" s="6"/>
      <c r="V30" s="6"/>
      <c r="W30" s="6"/>
      <c r="X30" s="6"/>
    </row>
    <row r="31" spans="3:24" ht="49.9" customHeight="1" thickBot="1" x14ac:dyDescent="0.25">
      <c r="C31" s="36" t="s">
        <v>150</v>
      </c>
      <c r="D31" s="37" t="s">
        <v>151</v>
      </c>
      <c r="E31" s="38" t="s">
        <v>152</v>
      </c>
      <c r="F31" s="39" t="s">
        <v>153</v>
      </c>
      <c r="G31" s="39"/>
      <c r="H31" s="39"/>
      <c r="I31" s="368"/>
      <c r="J31" s="368">
        <v>450</v>
      </c>
      <c r="K31" s="368">
        <v>230</v>
      </c>
      <c r="L31" s="368">
        <v>50</v>
      </c>
      <c r="M31" s="368">
        <v>10</v>
      </c>
      <c r="N31" s="369">
        <v>10</v>
      </c>
      <c r="O31" s="379">
        <f>SUM(K31:N31)</f>
        <v>300</v>
      </c>
      <c r="P31" s="387" t="str">
        <f>IF(I31="","",+O31-I31)</f>
        <v/>
      </c>
      <c r="Q31" s="389" t="str">
        <f>IF(OR(I31="",P31=""),"",ROUND(P31/I31,3))</f>
        <v/>
      </c>
      <c r="R31" s="382">
        <f>+O31-J31</f>
        <v>-150</v>
      </c>
      <c r="S31" s="383">
        <f>IF(OR(J31="",R31=""),"",ROUND(R31/J31,2))</f>
        <v>-0.33</v>
      </c>
      <c r="T31" s="40">
        <v>2</v>
      </c>
      <c r="U31" s="41" t="s">
        <v>133</v>
      </c>
      <c r="V31" s="45" t="s">
        <v>174</v>
      </c>
      <c r="W31" s="43" t="s">
        <v>175</v>
      </c>
      <c r="X31" s="43" t="s">
        <v>176</v>
      </c>
    </row>
    <row r="32" spans="3:24" ht="37.9" customHeight="1" thickBot="1" x14ac:dyDescent="0.25">
      <c r="C32" s="36" t="s">
        <v>158</v>
      </c>
      <c r="D32" s="37" t="s">
        <v>159</v>
      </c>
      <c r="E32" s="38" t="s">
        <v>160</v>
      </c>
      <c r="F32" s="39" t="s">
        <v>161</v>
      </c>
      <c r="G32" s="39"/>
      <c r="H32" s="39"/>
      <c r="I32" s="384" t="str">
        <f>IF(OR(I31="",I31=0),"",ROUND(I34/I31,0))</f>
        <v/>
      </c>
      <c r="J32" s="384">
        <f>IF(OR(J31="",J31=0),"",ROUND(J34/J31,0))</f>
        <v>110</v>
      </c>
      <c r="K32" s="384">
        <f>IF(OR(K31="",K31=0),"",ROUND(K34/K31,0))</f>
        <v>100</v>
      </c>
      <c r="L32" s="368">
        <v>100</v>
      </c>
      <c r="M32" s="368">
        <v>100</v>
      </c>
      <c r="N32" s="368">
        <v>100</v>
      </c>
      <c r="O32" s="385">
        <f>IF(OR(O31="",O31=0),"",ROUND(O34/O31,0))</f>
        <v>100</v>
      </c>
      <c r="P32" s="387" t="str">
        <f>IF(I32="","",+O32-I32)</f>
        <v/>
      </c>
      <c r="Q32" s="388" t="str">
        <f>IF(OR(I32="",P32=""),"",ROUND(P32/I32,3))</f>
        <v/>
      </c>
      <c r="R32" s="382">
        <f>+O32-J32</f>
        <v>-10</v>
      </c>
      <c r="S32" s="383">
        <f>IF(OR(J32="",R32=""),"",ROUND(R32/J32,2))</f>
        <v>-0.09</v>
      </c>
      <c r="T32" s="40">
        <v>1</v>
      </c>
      <c r="U32" s="41" t="s">
        <v>154</v>
      </c>
      <c r="V32" s="45" t="s">
        <v>162</v>
      </c>
      <c r="W32" s="45" t="s">
        <v>163</v>
      </c>
      <c r="X32" s="43" t="s">
        <v>164</v>
      </c>
    </row>
    <row r="33" spans="3:24" ht="14.25" thickBot="1" x14ac:dyDescent="0.2">
      <c r="C33" s="46" t="s">
        <v>165</v>
      </c>
      <c r="D33" s="47" t="s">
        <v>166</v>
      </c>
      <c r="E33" s="39" t="s">
        <v>160</v>
      </c>
      <c r="F33" s="39" t="s">
        <v>161</v>
      </c>
      <c r="G33" s="39"/>
      <c r="H33" s="39"/>
      <c r="I33" s="49"/>
      <c r="J33" s="49"/>
      <c r="K33" s="49"/>
      <c r="L33" s="371"/>
      <c r="M33" s="371"/>
      <c r="N33" s="371"/>
      <c r="O33" s="49"/>
      <c r="P33" s="48"/>
      <c r="Q33" s="48"/>
      <c r="R33" s="49"/>
      <c r="S33" s="48"/>
      <c r="T33" s="48"/>
      <c r="U33" s="48"/>
      <c r="V33" s="48"/>
      <c r="W33" s="48"/>
      <c r="X33" s="48"/>
    </row>
    <row r="34" spans="3:24" ht="35.25" thickBot="1" x14ac:dyDescent="0.25">
      <c r="C34" s="36" t="s">
        <v>167</v>
      </c>
      <c r="D34" s="50" t="s">
        <v>168</v>
      </c>
      <c r="E34" s="38" t="s">
        <v>160</v>
      </c>
      <c r="F34" s="39" t="s">
        <v>161</v>
      </c>
      <c r="G34" s="39" t="s">
        <v>169</v>
      </c>
      <c r="H34" s="39"/>
      <c r="I34" s="368"/>
      <c r="J34" s="368">
        <v>49500</v>
      </c>
      <c r="K34" s="368">
        <v>23000</v>
      </c>
      <c r="L34" s="384">
        <f>IF(OR(L31="",L32=""),"",ROUND(L31*L32,0)+L33)</f>
        <v>5000</v>
      </c>
      <c r="M34" s="384">
        <f>IF(OR(M31="",M32=""),"",ROUND(M31*M32,0)+M33)</f>
        <v>1000</v>
      </c>
      <c r="N34" s="384">
        <f>IF(OR(N31="",N32=""),"",ROUND(N31*N32,0)+N33)</f>
        <v>1000</v>
      </c>
      <c r="O34" s="379">
        <f>SUM(K34:N34)</f>
        <v>30000</v>
      </c>
      <c r="P34" s="387" t="str">
        <f>IF(I34="","",+O34-I34)</f>
        <v/>
      </c>
      <c r="Q34" s="388" t="str">
        <f>IF(OR(I34="",P34=""),"",ROUND(P34/I34,3))</f>
        <v/>
      </c>
      <c r="R34" s="382">
        <f>+O34-J34</f>
        <v>-19500</v>
      </c>
      <c r="S34" s="383">
        <f>IF(OR(J34="",R34=""),"",ROUND(R34/J34,2))</f>
        <v>-0.39</v>
      </c>
      <c r="T34" s="48"/>
      <c r="U34" s="52" t="s">
        <v>170</v>
      </c>
      <c r="V34" s="52" t="s">
        <v>170</v>
      </c>
      <c r="W34" s="52" t="s">
        <v>170</v>
      </c>
      <c r="X34" s="52" t="s">
        <v>170</v>
      </c>
    </row>
    <row r="36" spans="3:24" ht="24" x14ac:dyDescent="0.15">
      <c r="C36" s="155" t="s">
        <v>575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</row>
    <row r="37" spans="3:24" ht="3.6" customHeight="1" thickBot="1" x14ac:dyDescent="0.2"/>
    <row r="38" spans="3:24" ht="18" thickBot="1" x14ac:dyDescent="0.2">
      <c r="D38" s="1" t="s">
        <v>97</v>
      </c>
      <c r="E38" s="372" t="s">
        <v>177</v>
      </c>
      <c r="F38" s="180"/>
      <c r="G38" s="180"/>
      <c r="H38" s="180"/>
      <c r="I38" s="180"/>
      <c r="J38" s="180"/>
      <c r="K38" s="180"/>
      <c r="L38" s="181"/>
      <c r="T38" s="153" t="s">
        <v>99</v>
      </c>
      <c r="U38" s="154"/>
      <c r="V38" s="3" t="s">
        <v>100</v>
      </c>
      <c r="W38" s="3" t="s">
        <v>101</v>
      </c>
      <c r="X38" s="3" t="s">
        <v>102</v>
      </c>
    </row>
    <row r="39" spans="3:24" ht="18" thickBot="1" x14ac:dyDescent="0.2">
      <c r="D39" s="1" t="s">
        <v>103</v>
      </c>
      <c r="E39" s="372" t="s">
        <v>178</v>
      </c>
      <c r="F39" s="180"/>
      <c r="G39" s="180"/>
      <c r="H39" s="180"/>
      <c r="I39" s="180"/>
      <c r="J39" s="180"/>
      <c r="K39" s="180"/>
      <c r="L39" s="181"/>
      <c r="T39" s="153" t="s">
        <v>105</v>
      </c>
      <c r="U39" s="154"/>
      <c r="V39" s="3" t="s">
        <v>106</v>
      </c>
      <c r="W39" s="3" t="s">
        <v>107</v>
      </c>
      <c r="X39" s="3" t="s">
        <v>97</v>
      </c>
    </row>
    <row r="40" spans="3:24" ht="14.25" thickBot="1" x14ac:dyDescent="0.2">
      <c r="D40" s="4" t="s">
        <v>108</v>
      </c>
      <c r="E40" s="152" t="s">
        <v>109</v>
      </c>
      <c r="F40" s="152"/>
      <c r="G40" s="152"/>
      <c r="H40" s="152"/>
      <c r="I40" s="152"/>
      <c r="J40" s="2"/>
      <c r="T40" s="153" t="s">
        <v>110</v>
      </c>
      <c r="U40" s="154"/>
      <c r="V40" s="3" t="s">
        <v>111</v>
      </c>
      <c r="W40" s="3" t="s">
        <v>111</v>
      </c>
      <c r="X40" s="374" t="s">
        <v>98</v>
      </c>
    </row>
    <row r="41" spans="3:24" ht="14.25" thickBot="1" x14ac:dyDescent="0.2">
      <c r="D41" s="159" t="s">
        <v>112</v>
      </c>
      <c r="E41" s="160"/>
      <c r="F41" s="160"/>
      <c r="G41" s="160"/>
      <c r="H41" s="160"/>
      <c r="I41" s="161"/>
      <c r="J41" s="2"/>
      <c r="T41" s="153" t="s">
        <v>113</v>
      </c>
      <c r="U41" s="154"/>
      <c r="V41" s="3" t="s">
        <v>114</v>
      </c>
      <c r="W41" s="3" t="s">
        <v>114</v>
      </c>
      <c r="X41" s="3" t="s">
        <v>114</v>
      </c>
    </row>
    <row r="42" spans="3:24" ht="4.1500000000000004" customHeight="1" x14ac:dyDescent="0.15"/>
    <row r="43" spans="3:24" x14ac:dyDescent="0.15">
      <c r="C43" s="162" t="s">
        <v>115</v>
      </c>
      <c r="D43" s="165" t="s">
        <v>116</v>
      </c>
      <c r="E43" s="168" t="s">
        <v>117</v>
      </c>
      <c r="F43" s="168" t="s">
        <v>118</v>
      </c>
      <c r="G43" s="162" t="s">
        <v>119</v>
      </c>
      <c r="H43" s="162" t="s">
        <v>120</v>
      </c>
      <c r="I43" s="162" t="s">
        <v>179</v>
      </c>
      <c r="J43" s="162" t="s">
        <v>180</v>
      </c>
      <c r="K43" s="5" t="s">
        <v>21</v>
      </c>
      <c r="L43" s="5" t="s">
        <v>38</v>
      </c>
      <c r="M43" s="5" t="s">
        <v>38</v>
      </c>
      <c r="N43" s="5" t="s">
        <v>38</v>
      </c>
      <c r="O43" s="162" t="s">
        <v>123</v>
      </c>
      <c r="P43" s="162" t="s">
        <v>124</v>
      </c>
      <c r="Q43" s="162" t="s">
        <v>125</v>
      </c>
      <c r="R43" s="162" t="s">
        <v>126</v>
      </c>
      <c r="S43" s="162" t="s">
        <v>127</v>
      </c>
      <c r="T43" s="171" t="s">
        <v>128</v>
      </c>
      <c r="U43" s="172"/>
      <c r="V43" s="172"/>
      <c r="W43" s="172"/>
      <c r="X43" s="173"/>
    </row>
    <row r="44" spans="3:24" x14ac:dyDescent="0.15">
      <c r="C44" s="163"/>
      <c r="D44" s="166"/>
      <c r="E44" s="169"/>
      <c r="F44" s="169"/>
      <c r="G44" s="166"/>
      <c r="H44" s="166"/>
      <c r="I44" s="166"/>
      <c r="J44" s="166"/>
      <c r="K44" s="5" t="s">
        <v>129</v>
      </c>
      <c r="L44" s="5" t="s">
        <v>130</v>
      </c>
      <c r="M44" s="5" t="s">
        <v>131</v>
      </c>
      <c r="N44" s="5" t="s">
        <v>132</v>
      </c>
      <c r="O44" s="163"/>
      <c r="P44" s="163"/>
      <c r="Q44" s="163"/>
      <c r="R44" s="163"/>
      <c r="S44" s="163"/>
      <c r="T44" s="174"/>
      <c r="U44" s="175"/>
      <c r="V44" s="175"/>
      <c r="W44" s="175"/>
      <c r="X44" s="176"/>
    </row>
    <row r="45" spans="3:24" x14ac:dyDescent="0.15">
      <c r="C45" s="164"/>
      <c r="D45" s="167"/>
      <c r="E45" s="170"/>
      <c r="F45" s="170"/>
      <c r="G45" s="167"/>
      <c r="H45" s="167"/>
      <c r="I45" s="167"/>
      <c r="J45" s="167"/>
      <c r="K45" s="5" t="s">
        <v>133</v>
      </c>
      <c r="L45" s="5" t="s">
        <v>134</v>
      </c>
      <c r="M45" s="5" t="s">
        <v>134</v>
      </c>
      <c r="N45" s="5" t="s">
        <v>134</v>
      </c>
      <c r="O45" s="164"/>
      <c r="P45" s="164"/>
      <c r="Q45" s="164"/>
      <c r="R45" s="164"/>
      <c r="S45" s="164"/>
      <c r="T45" s="177"/>
      <c r="U45" s="178"/>
      <c r="V45" s="178"/>
      <c r="W45" s="178"/>
      <c r="X45" s="179"/>
    </row>
    <row r="46" spans="3:24" ht="27" x14ac:dyDescent="0.15">
      <c r="C46" s="6"/>
      <c r="D46" s="6"/>
      <c r="E46" s="6"/>
      <c r="F46" s="6"/>
      <c r="G46" s="6"/>
      <c r="H46" s="6"/>
      <c r="I46" s="375" t="s">
        <v>135</v>
      </c>
      <c r="J46" s="375" t="s">
        <v>136</v>
      </c>
      <c r="K46" s="375" t="s">
        <v>137</v>
      </c>
      <c r="L46" s="375" t="s">
        <v>138</v>
      </c>
      <c r="M46" s="375" t="s">
        <v>139</v>
      </c>
      <c r="N46" s="375" t="s">
        <v>140</v>
      </c>
      <c r="O46" s="375" t="s">
        <v>173</v>
      </c>
      <c r="P46" s="377" t="s">
        <v>142</v>
      </c>
      <c r="Q46" s="377" t="s">
        <v>143</v>
      </c>
      <c r="R46" s="375" t="s">
        <v>144</v>
      </c>
      <c r="S46" s="377" t="s">
        <v>145</v>
      </c>
      <c r="T46" s="378" t="s">
        <v>115</v>
      </c>
      <c r="U46" s="375" t="s">
        <v>146</v>
      </c>
      <c r="V46" s="375" t="s">
        <v>147</v>
      </c>
      <c r="W46" s="375" t="s">
        <v>148</v>
      </c>
      <c r="X46" s="375" t="s">
        <v>149</v>
      </c>
    </row>
    <row r="47" spans="3:24" ht="4.1500000000000004" customHeight="1" thickBot="1" x14ac:dyDescent="0.2"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  <c r="P47" s="6"/>
      <c r="Q47" s="6"/>
      <c r="R47" s="7"/>
      <c r="S47" s="7"/>
      <c r="T47" s="6"/>
      <c r="U47" s="6"/>
      <c r="V47" s="6"/>
      <c r="W47" s="6"/>
      <c r="X47" s="6"/>
    </row>
    <row r="48" spans="3:24" ht="27.75" thickBot="1" x14ac:dyDescent="0.25">
      <c r="C48" s="36" t="s">
        <v>150</v>
      </c>
      <c r="D48" s="53" t="s">
        <v>151</v>
      </c>
      <c r="E48" s="38" t="s">
        <v>152</v>
      </c>
      <c r="F48" s="39" t="s">
        <v>153</v>
      </c>
      <c r="G48" s="39"/>
      <c r="H48" s="39"/>
      <c r="I48" s="384">
        <f>+I14+I31</f>
        <v>0</v>
      </c>
      <c r="J48" s="384">
        <f>+J14+J31</f>
        <v>1500</v>
      </c>
      <c r="K48" s="54">
        <f t="shared" ref="K48:N48" si="0">+K14+K31</f>
        <v>855</v>
      </c>
      <c r="L48" s="55">
        <f t="shared" si="0"/>
        <v>69</v>
      </c>
      <c r="M48" s="55">
        <f t="shared" si="0"/>
        <v>47</v>
      </c>
      <c r="N48" s="55">
        <f t="shared" si="0"/>
        <v>29</v>
      </c>
      <c r="O48" s="56">
        <f>SUM(K48:N48)</f>
        <v>1000</v>
      </c>
      <c r="P48" s="380">
        <f>IF(I48="","",+O48-I48)</f>
        <v>1000</v>
      </c>
      <c r="Q48" s="381" t="str">
        <f>IF(OR(I48=0,P48=""),"",ROUND(P48/I48,3))</f>
        <v/>
      </c>
      <c r="R48" s="382">
        <f>+O48-J48</f>
        <v>-500</v>
      </c>
      <c r="S48" s="383">
        <f>IF(OR(J48="",R48=""),"",ROUND(R48/J48,2))</f>
        <v>-0.33</v>
      </c>
      <c r="T48" s="57" t="s">
        <v>181</v>
      </c>
      <c r="U48" s="58" t="s">
        <v>182</v>
      </c>
      <c r="V48" s="45" t="s">
        <v>183</v>
      </c>
      <c r="W48" s="43" t="s">
        <v>184</v>
      </c>
      <c r="X48" s="43" t="s">
        <v>157</v>
      </c>
    </row>
    <row r="49" spans="3:24" ht="13.9" customHeight="1" thickBot="1" x14ac:dyDescent="0.2">
      <c r="L49" s="59" t="s">
        <v>185</v>
      </c>
      <c r="M49" s="59" t="s">
        <v>185</v>
      </c>
      <c r="N49" s="59" t="s">
        <v>185</v>
      </c>
    </row>
    <row r="50" spans="3:24" ht="14.25" thickBot="1" x14ac:dyDescent="0.2">
      <c r="L50" s="182" t="s">
        <v>186</v>
      </c>
      <c r="M50" s="183"/>
      <c r="N50" s="184"/>
    </row>
    <row r="51" spans="3:24" ht="1.9" customHeight="1" thickBot="1" x14ac:dyDescent="0.2"/>
    <row r="52" spans="3:24" ht="50.45" customHeight="1" thickBot="1" x14ac:dyDescent="0.25">
      <c r="C52" s="36" t="s">
        <v>158</v>
      </c>
      <c r="D52" s="60" t="s">
        <v>159</v>
      </c>
      <c r="E52" s="38" t="s">
        <v>160</v>
      </c>
      <c r="F52" s="39" t="s">
        <v>161</v>
      </c>
      <c r="G52" s="39"/>
      <c r="H52" s="39"/>
      <c r="I52" s="384" t="str">
        <f>IF(OR(I48="",I48=0),"",ROUND(I54/I48,0))</f>
        <v/>
      </c>
      <c r="J52" s="384">
        <f>IF(OR(J48="",J48=0),"",ROUND(J54/J48,0))</f>
        <v>110</v>
      </c>
      <c r="K52" s="384">
        <f>IF(OR(K48="",K48=0),"",ROUND(K54/K48,0))</f>
        <v>100</v>
      </c>
      <c r="L52" s="384">
        <f t="shared" ref="L52:N52" si="1">IF(OR(L48="",L48=0),"",ROUND(L54/L48,0))</f>
        <v>100</v>
      </c>
      <c r="M52" s="384">
        <f t="shared" si="1"/>
        <v>100</v>
      </c>
      <c r="N52" s="384">
        <f t="shared" si="1"/>
        <v>101</v>
      </c>
      <c r="O52" s="55">
        <f>IF(OR(O48="",O48=0),"",ROUND(O54/O48,0))</f>
        <v>100</v>
      </c>
      <c r="P52" s="380" t="str">
        <f>IF(I52="","",+O52-I52)</f>
        <v/>
      </c>
      <c r="Q52" s="386" t="str">
        <f>IF(OR(I52="",P52=""),"",ROUND(P52/I52,3))</f>
        <v/>
      </c>
      <c r="R52" s="382">
        <f>+O52-J52</f>
        <v>-10</v>
      </c>
      <c r="S52" s="383">
        <f>IF(OR(J52="",R52=""),"",ROUND(R52/J52,2))</f>
        <v>-0.09</v>
      </c>
      <c r="T52" s="61">
        <v>1</v>
      </c>
      <c r="U52" s="62" t="s">
        <v>187</v>
      </c>
      <c r="V52" s="44" t="s">
        <v>162</v>
      </c>
      <c r="W52" s="45" t="s">
        <v>188</v>
      </c>
      <c r="X52" s="43" t="s">
        <v>164</v>
      </c>
    </row>
    <row r="53" spans="3:24" ht="14.25" thickBot="1" x14ac:dyDescent="0.2">
      <c r="C53" s="46" t="s">
        <v>165</v>
      </c>
      <c r="D53" s="47" t="s">
        <v>166</v>
      </c>
      <c r="E53" s="39" t="s">
        <v>160</v>
      </c>
      <c r="F53" s="39" t="s">
        <v>161</v>
      </c>
      <c r="G53" s="39"/>
      <c r="H53" s="39"/>
      <c r="I53" s="49"/>
      <c r="J53" s="49"/>
      <c r="K53" s="49"/>
      <c r="L53" s="373"/>
      <c r="M53" s="371"/>
      <c r="N53" s="371"/>
      <c r="O53" s="49"/>
      <c r="P53" s="49"/>
      <c r="Q53" s="49"/>
      <c r="R53" s="49"/>
      <c r="S53" s="49"/>
      <c r="T53" s="48"/>
      <c r="U53" s="48"/>
      <c r="V53" s="48"/>
      <c r="W53" s="48"/>
      <c r="X53" s="48"/>
    </row>
    <row r="54" spans="3:24" ht="24" customHeight="1" thickBot="1" x14ac:dyDescent="0.25">
      <c r="C54" s="36" t="s">
        <v>167</v>
      </c>
      <c r="D54" s="63" t="s">
        <v>189</v>
      </c>
      <c r="E54" s="38" t="s">
        <v>160</v>
      </c>
      <c r="F54" s="39" t="s">
        <v>161</v>
      </c>
      <c r="G54" s="39" t="s">
        <v>169</v>
      </c>
      <c r="H54" s="39"/>
      <c r="I54" s="384">
        <f>+I17+I34</f>
        <v>0</v>
      </c>
      <c r="J54" s="384">
        <f>+J17+J34</f>
        <v>165000</v>
      </c>
      <c r="K54" s="390">
        <f t="shared" ref="K54:N54" si="2">+K17+K34</f>
        <v>85500</v>
      </c>
      <c r="L54" s="391">
        <f t="shared" si="2"/>
        <v>6881</v>
      </c>
      <c r="M54" s="392">
        <f t="shared" si="2"/>
        <v>4700</v>
      </c>
      <c r="N54" s="384">
        <f t="shared" si="2"/>
        <v>2919</v>
      </c>
      <c r="O54" s="56">
        <f>SUM(K54:N54)</f>
        <v>100000</v>
      </c>
      <c r="P54" s="380">
        <f>IF(I54="","",+O54-I54)</f>
        <v>100000</v>
      </c>
      <c r="Q54" s="386" t="str">
        <f>IF(OR(I54=0,P54=""),"",ROUND(P54/I54,3))</f>
        <v/>
      </c>
      <c r="R54" s="382">
        <f>+O54-J54</f>
        <v>-65000</v>
      </c>
      <c r="S54" s="383">
        <f>IF(OR(J54="",R54=""),"",ROUND(R54/J54,2))</f>
        <v>-0.39</v>
      </c>
      <c r="T54" s="48"/>
      <c r="U54" s="52" t="s">
        <v>170</v>
      </c>
      <c r="V54" s="52" t="s">
        <v>170</v>
      </c>
      <c r="W54" s="52" t="s">
        <v>170</v>
      </c>
      <c r="X54" s="52" t="s">
        <v>170</v>
      </c>
    </row>
    <row r="55" spans="3:24" ht="13.9" customHeight="1" thickBot="1" x14ac:dyDescent="0.2">
      <c r="C55" s="64"/>
      <c r="D55" s="59"/>
      <c r="E55" s="59"/>
      <c r="F55" s="59"/>
      <c r="G55" s="59"/>
      <c r="H55" s="59"/>
      <c r="I55" s="59"/>
      <c r="J55" s="59"/>
      <c r="K55" s="59"/>
      <c r="O55" s="59" t="s">
        <v>185</v>
      </c>
      <c r="P55" s="59"/>
      <c r="Q55" s="59"/>
      <c r="R55" s="59"/>
      <c r="S55" s="59"/>
      <c r="T55" s="65"/>
      <c r="U55" s="59"/>
      <c r="V55" s="59"/>
      <c r="W55" s="59"/>
      <c r="X55" s="59"/>
    </row>
    <row r="56" spans="3:24" ht="16.899999999999999" customHeight="1" thickBot="1" x14ac:dyDescent="0.2">
      <c r="O56" s="66" t="s">
        <v>190</v>
      </c>
    </row>
  </sheetData>
  <mergeCells count="70">
    <mergeCell ref="L50:N50"/>
    <mergeCell ref="O43:O45"/>
    <mergeCell ref="P43:P45"/>
    <mergeCell ref="Q43:Q45"/>
    <mergeCell ref="R43:R45"/>
    <mergeCell ref="S43:S45"/>
    <mergeCell ref="T43:X45"/>
    <mergeCell ref="D41:I41"/>
    <mergeCell ref="T41:U41"/>
    <mergeCell ref="C43:C45"/>
    <mergeCell ref="D43:D45"/>
    <mergeCell ref="E43:E45"/>
    <mergeCell ref="F43:F45"/>
    <mergeCell ref="G43:G45"/>
    <mergeCell ref="H43:H45"/>
    <mergeCell ref="I43:I45"/>
    <mergeCell ref="J43:J45"/>
    <mergeCell ref="E40:I40"/>
    <mergeCell ref="T40:U40"/>
    <mergeCell ref="O26:O28"/>
    <mergeCell ref="P26:P28"/>
    <mergeCell ref="Q26:Q28"/>
    <mergeCell ref="R26:R28"/>
    <mergeCell ref="S26:S28"/>
    <mergeCell ref="T26:X28"/>
    <mergeCell ref="C36:X36"/>
    <mergeCell ref="E38:L38"/>
    <mergeCell ref="T38:U38"/>
    <mergeCell ref="E39:L39"/>
    <mergeCell ref="T39:U39"/>
    <mergeCell ref="D24:I24"/>
    <mergeCell ref="T24:U24"/>
    <mergeCell ref="C26:C28"/>
    <mergeCell ref="D26:D28"/>
    <mergeCell ref="E26:E28"/>
    <mergeCell ref="F26:F28"/>
    <mergeCell ref="G26:G28"/>
    <mergeCell ref="H26:H28"/>
    <mergeCell ref="I26:I28"/>
    <mergeCell ref="J26:J28"/>
    <mergeCell ref="E23:I23"/>
    <mergeCell ref="T23:U23"/>
    <mergeCell ref="O9:O11"/>
    <mergeCell ref="P9:P11"/>
    <mergeCell ref="Q9:Q11"/>
    <mergeCell ref="R9:R11"/>
    <mergeCell ref="S9:S11"/>
    <mergeCell ref="T9:X11"/>
    <mergeCell ref="C19:X19"/>
    <mergeCell ref="E21:I21"/>
    <mergeCell ref="T21:U21"/>
    <mergeCell ref="E22:I22"/>
    <mergeCell ref="T22:U22"/>
    <mergeCell ref="D7:I7"/>
    <mergeCell ref="T7:U7"/>
    <mergeCell ref="C9:C11"/>
    <mergeCell ref="D9:D11"/>
    <mergeCell ref="E9:E11"/>
    <mergeCell ref="F9:F11"/>
    <mergeCell ref="G9:G11"/>
    <mergeCell ref="H9:H11"/>
    <mergeCell ref="I9:I11"/>
    <mergeCell ref="J9:J11"/>
    <mergeCell ref="E6:I6"/>
    <mergeCell ref="T6:U6"/>
    <mergeCell ref="C2:X2"/>
    <mergeCell ref="E4:I4"/>
    <mergeCell ref="T4:U4"/>
    <mergeCell ref="E5:I5"/>
    <mergeCell ref="T5:U5"/>
  </mergeCells>
  <phoneticPr fontId="2"/>
  <printOptions horizontalCentered="1"/>
  <pageMargins left="0.19685039370078741" right="0.19685039370078741" top="0.19685039370078741" bottom="0.23622047244094491" header="0.19685039370078741" footer="0.19685039370078741"/>
  <pageSetup paperSize="9" scale="60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4"/>
  <sheetViews>
    <sheetView workbookViewId="0">
      <selection activeCell="M5" sqref="M5"/>
    </sheetView>
  </sheetViews>
  <sheetFormatPr defaultRowHeight="13.5" x14ac:dyDescent="0.15"/>
  <cols>
    <col min="3" max="3" width="6" customWidth="1"/>
    <col min="4" max="4" width="17.5" customWidth="1"/>
    <col min="5" max="5" width="5.875" customWidth="1"/>
    <col min="6" max="6" width="5.375" customWidth="1"/>
    <col min="7" max="7" width="4.875" customWidth="1"/>
    <col min="8" max="8" width="19.25" customWidth="1"/>
    <col min="9" max="9" width="19.75" customWidth="1"/>
    <col min="10" max="10" width="21.5" customWidth="1"/>
    <col min="14" max="14" width="12" customWidth="1"/>
  </cols>
  <sheetData>
    <row r="1" spans="3:14" ht="24" x14ac:dyDescent="0.15">
      <c r="C1" s="155" t="s">
        <v>589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3" spans="3:14" ht="14.25" thickBot="1" x14ac:dyDescent="0.2"/>
    <row r="4" spans="3:14" ht="14.25" thickBot="1" x14ac:dyDescent="0.2">
      <c r="J4" s="105" t="s">
        <v>2</v>
      </c>
      <c r="K4" s="67" t="s">
        <v>621</v>
      </c>
      <c r="L4" s="67" t="s">
        <v>624</v>
      </c>
      <c r="M4" s="67" t="s">
        <v>625</v>
      </c>
    </row>
    <row r="5" spans="3:14" ht="14.25" thickBot="1" x14ac:dyDescent="0.2">
      <c r="J5" s="105" t="s">
        <v>5</v>
      </c>
      <c r="K5" s="3" t="s">
        <v>6</v>
      </c>
      <c r="L5" s="3" t="s">
        <v>7</v>
      </c>
      <c r="M5" s="3" t="s">
        <v>0</v>
      </c>
    </row>
    <row r="6" spans="3:14" ht="14.25" thickBot="1" x14ac:dyDescent="0.2">
      <c r="C6" s="146" t="s">
        <v>458</v>
      </c>
      <c r="D6" s="326" t="s">
        <v>459</v>
      </c>
      <c r="E6" s="326"/>
      <c r="F6" s="326"/>
      <c r="G6" s="326"/>
      <c r="I6" s="2"/>
      <c r="J6" s="105" t="s">
        <v>8</v>
      </c>
      <c r="K6" s="3" t="s">
        <v>9</v>
      </c>
      <c r="L6" s="3" t="s">
        <v>9</v>
      </c>
      <c r="M6" s="3" t="s">
        <v>9</v>
      </c>
    </row>
    <row r="7" spans="3:14" ht="14.25" thickBot="1" x14ac:dyDescent="0.2">
      <c r="C7" s="327" t="s">
        <v>10</v>
      </c>
      <c r="D7" s="328"/>
      <c r="E7" s="328"/>
      <c r="F7" s="328"/>
      <c r="G7" s="329"/>
      <c r="I7" s="2"/>
      <c r="J7" s="105" t="s">
        <v>11</v>
      </c>
      <c r="K7" s="3" t="s">
        <v>12</v>
      </c>
      <c r="L7" s="3" t="s">
        <v>12</v>
      </c>
      <c r="M7" s="3" t="s">
        <v>12</v>
      </c>
    </row>
    <row r="9" spans="3:14" ht="13.15" customHeight="1" x14ac:dyDescent="0.15">
      <c r="C9" s="162" t="s">
        <v>14</v>
      </c>
      <c r="D9" s="165" t="s">
        <v>15</v>
      </c>
      <c r="E9" s="168" t="s">
        <v>16</v>
      </c>
      <c r="F9" s="168" t="s">
        <v>17</v>
      </c>
      <c r="G9" s="162" t="s">
        <v>18</v>
      </c>
      <c r="H9" s="5" t="s">
        <v>591</v>
      </c>
      <c r="I9" s="5" t="s">
        <v>592</v>
      </c>
      <c r="J9" s="165" t="s">
        <v>593</v>
      </c>
      <c r="K9" s="172" t="s">
        <v>587</v>
      </c>
      <c r="L9" s="172"/>
      <c r="M9" s="172"/>
      <c r="N9" s="173"/>
    </row>
    <row r="10" spans="3:14" x14ac:dyDescent="0.15">
      <c r="C10" s="163"/>
      <c r="D10" s="166"/>
      <c r="E10" s="169"/>
      <c r="F10" s="169"/>
      <c r="G10" s="166"/>
      <c r="H10" s="5" t="s">
        <v>595</v>
      </c>
      <c r="I10" s="5" t="s">
        <v>599</v>
      </c>
      <c r="J10" s="166"/>
      <c r="K10" s="175"/>
      <c r="L10" s="175"/>
      <c r="M10" s="175"/>
      <c r="N10" s="176"/>
    </row>
    <row r="11" spans="3:14" x14ac:dyDescent="0.15">
      <c r="C11" s="164"/>
      <c r="D11" s="167"/>
      <c r="E11" s="170"/>
      <c r="F11" s="170"/>
      <c r="G11" s="167"/>
      <c r="H11" s="5" t="s">
        <v>594</v>
      </c>
      <c r="I11" s="5" t="s">
        <v>596</v>
      </c>
      <c r="J11" s="167"/>
      <c r="K11" s="178"/>
      <c r="L11" s="178"/>
      <c r="M11" s="178"/>
      <c r="N11" s="179"/>
    </row>
    <row r="12" spans="3:14" x14ac:dyDescent="0.15">
      <c r="C12" s="6"/>
      <c r="D12" s="6"/>
      <c r="E12" s="6"/>
      <c r="F12" s="6"/>
      <c r="G12" s="6"/>
      <c r="H12" s="375" t="s">
        <v>26</v>
      </c>
      <c r="I12" s="375" t="s">
        <v>52</v>
      </c>
      <c r="J12" s="375" t="s">
        <v>597</v>
      </c>
      <c r="K12" s="441" t="s">
        <v>571</v>
      </c>
      <c r="L12" s="319"/>
      <c r="M12" s="441" t="s">
        <v>572</v>
      </c>
      <c r="N12" s="319"/>
    </row>
    <row r="13" spans="3:14" ht="14.25" thickBot="1" x14ac:dyDescent="0.2">
      <c r="C13" s="6"/>
      <c r="D13" s="7"/>
      <c r="E13" s="6"/>
      <c r="F13" s="6"/>
      <c r="G13" s="6"/>
      <c r="H13" s="6"/>
      <c r="I13" s="6"/>
      <c r="J13" s="6"/>
      <c r="K13" s="208"/>
      <c r="L13" s="210"/>
      <c r="M13" s="208"/>
      <c r="N13" s="210"/>
    </row>
    <row r="14" spans="3:14" ht="21.75" thickBot="1" x14ac:dyDescent="0.25">
      <c r="C14" s="109" t="s">
        <v>598</v>
      </c>
      <c r="D14" s="70" t="s">
        <v>588</v>
      </c>
      <c r="E14" s="38" t="s">
        <v>77</v>
      </c>
      <c r="F14" s="107" t="s">
        <v>78</v>
      </c>
      <c r="G14" s="107" t="s">
        <v>590</v>
      </c>
      <c r="H14" s="131">
        <f>⑦当期実績予想売上代金回収関係!Q103</f>
        <v>8229</v>
      </c>
      <c r="I14" s="384">
        <f>⑧次期売上代金回収計画!W106</f>
        <v>14580</v>
      </c>
      <c r="J14" s="384">
        <f>+I14-H14</f>
        <v>6351</v>
      </c>
      <c r="K14" s="324" t="s">
        <v>9</v>
      </c>
      <c r="L14" s="325"/>
      <c r="M14" s="324" t="s">
        <v>9</v>
      </c>
      <c r="N14" s="325"/>
    </row>
  </sheetData>
  <mergeCells count="16">
    <mergeCell ref="K14:L14"/>
    <mergeCell ref="M14:N14"/>
    <mergeCell ref="C1:N1"/>
    <mergeCell ref="J9:J11"/>
    <mergeCell ref="K9:N11"/>
    <mergeCell ref="K12:L12"/>
    <mergeCell ref="M12:N12"/>
    <mergeCell ref="K13:L13"/>
    <mergeCell ref="M13:N13"/>
    <mergeCell ref="D6:G6"/>
    <mergeCell ref="C7:G7"/>
    <mergeCell ref="C9:C11"/>
    <mergeCell ref="D9:D11"/>
    <mergeCell ref="E9:E11"/>
    <mergeCell ref="F9:F11"/>
    <mergeCell ref="G9:G11"/>
  </mergeCells>
  <phoneticPr fontId="2"/>
  <printOptions horizontalCentered="1"/>
  <pageMargins left="0.33" right="0.24" top="0.49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G60"/>
  <sheetViews>
    <sheetView tabSelected="1" workbookViewId="0">
      <selection activeCell="AA12" sqref="AA12:AD12"/>
    </sheetView>
  </sheetViews>
  <sheetFormatPr defaultRowHeight="13.5" x14ac:dyDescent="0.15"/>
  <cols>
    <col min="1" max="60" width="3.625" customWidth="1"/>
  </cols>
  <sheetData>
    <row r="3" spans="6:33" ht="14.25" thickBot="1" x14ac:dyDescent="0.2"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6:33" ht="18" thickBot="1" x14ac:dyDescent="0.25">
      <c r="F4" s="151"/>
      <c r="G4" s="333" t="s">
        <v>638</v>
      </c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5"/>
      <c r="AG4" s="151"/>
    </row>
    <row r="5" spans="6:33" ht="14.25" thickBot="1" x14ac:dyDescent="0.2">
      <c r="F5" s="151"/>
      <c r="G5" s="330" t="s">
        <v>609</v>
      </c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2"/>
      <c r="AG5" s="151"/>
    </row>
    <row r="6" spans="6:33" ht="14.25" thickBot="1" x14ac:dyDescent="0.2">
      <c r="F6" s="151"/>
      <c r="G6" s="330" t="s">
        <v>610</v>
      </c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2"/>
      <c r="AG6" s="151"/>
    </row>
    <row r="7" spans="6:33" ht="14.25" thickBot="1" x14ac:dyDescent="0.2">
      <c r="F7" s="151"/>
      <c r="G7" s="336" t="s">
        <v>604</v>
      </c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37"/>
      <c r="T7" s="336" t="s">
        <v>605</v>
      </c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37"/>
      <c r="AG7" s="151"/>
    </row>
    <row r="8" spans="6:33" ht="14.25" thickBot="1" x14ac:dyDescent="0.2">
      <c r="F8" s="151"/>
      <c r="G8" s="342" t="s">
        <v>601</v>
      </c>
      <c r="H8" s="343"/>
      <c r="I8" s="342" t="s">
        <v>602</v>
      </c>
      <c r="J8" s="344"/>
      <c r="K8" s="344"/>
      <c r="L8" s="344"/>
      <c r="M8" s="343"/>
      <c r="N8" s="342" t="s">
        <v>607</v>
      </c>
      <c r="O8" s="344"/>
      <c r="P8" s="344"/>
      <c r="Q8" s="343"/>
      <c r="R8" s="336" t="s">
        <v>608</v>
      </c>
      <c r="S8" s="337"/>
      <c r="T8" s="342" t="s">
        <v>601</v>
      </c>
      <c r="U8" s="343"/>
      <c r="V8" s="342" t="s">
        <v>602</v>
      </c>
      <c r="W8" s="344"/>
      <c r="X8" s="344"/>
      <c r="Y8" s="344"/>
      <c r="Z8" s="343"/>
      <c r="AA8" s="342" t="s">
        <v>607</v>
      </c>
      <c r="AB8" s="344"/>
      <c r="AC8" s="344"/>
      <c r="AD8" s="343"/>
      <c r="AE8" s="336" t="s">
        <v>608</v>
      </c>
      <c r="AF8" s="337"/>
      <c r="AG8" s="151"/>
    </row>
    <row r="9" spans="6:33" ht="14.25" thickBot="1" x14ac:dyDescent="0.2"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</row>
    <row r="10" spans="6:33" ht="14.25" thickBot="1" x14ac:dyDescent="0.2">
      <c r="F10" s="151"/>
      <c r="G10" s="336" t="s">
        <v>613</v>
      </c>
      <c r="H10" s="337"/>
      <c r="I10" s="444" t="s">
        <v>614</v>
      </c>
      <c r="J10" s="338"/>
      <c r="K10" s="338"/>
      <c r="L10" s="338"/>
      <c r="M10" s="339"/>
      <c r="N10" s="445">
        <f>④予算損益計算書!I13</f>
        <v>113400</v>
      </c>
      <c r="O10" s="340"/>
      <c r="P10" s="340"/>
      <c r="Q10" s="341"/>
      <c r="R10" s="336" t="s">
        <v>603</v>
      </c>
      <c r="S10" s="337"/>
      <c r="T10" s="336" t="s">
        <v>617</v>
      </c>
      <c r="U10" s="337"/>
      <c r="V10" s="444" t="s">
        <v>618</v>
      </c>
      <c r="W10" s="338"/>
      <c r="X10" s="338"/>
      <c r="Y10" s="338"/>
      <c r="Z10" s="339"/>
      <c r="AA10" s="445">
        <f>⑩予算比較貸借対照表!J14</f>
        <v>6351</v>
      </c>
      <c r="AB10" s="340"/>
      <c r="AC10" s="340"/>
      <c r="AD10" s="341"/>
      <c r="AE10" s="336" t="s">
        <v>603</v>
      </c>
      <c r="AF10" s="337"/>
      <c r="AG10" s="151"/>
    </row>
    <row r="11" spans="6:33" ht="14.25" thickBot="1" x14ac:dyDescent="0.2"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</row>
    <row r="12" spans="6:33" ht="18" thickBot="1" x14ac:dyDescent="0.25">
      <c r="F12" s="151"/>
      <c r="G12" s="336" t="s">
        <v>616</v>
      </c>
      <c r="H12" s="337"/>
      <c r="I12" s="444" t="s">
        <v>615</v>
      </c>
      <c r="J12" s="338"/>
      <c r="K12" s="338"/>
      <c r="L12" s="338"/>
      <c r="M12" s="339"/>
      <c r="N12" s="445">
        <f>⑤次期予算消費税等計画書!V17</f>
        <v>9072</v>
      </c>
      <c r="O12" s="340"/>
      <c r="P12" s="340"/>
      <c r="Q12" s="341"/>
      <c r="R12" s="336" t="s">
        <v>603</v>
      </c>
      <c r="S12" s="337"/>
      <c r="T12" s="336" t="s">
        <v>619</v>
      </c>
      <c r="U12" s="337"/>
      <c r="V12" s="346" t="s">
        <v>620</v>
      </c>
      <c r="W12" s="347"/>
      <c r="X12" s="347"/>
      <c r="Y12" s="347"/>
      <c r="Z12" s="348"/>
      <c r="AA12" s="446">
        <f>+AA15-AA10</f>
        <v>116121</v>
      </c>
      <c r="AB12" s="349"/>
      <c r="AC12" s="349"/>
      <c r="AD12" s="350"/>
      <c r="AE12" s="336" t="s">
        <v>603</v>
      </c>
      <c r="AF12" s="337"/>
      <c r="AG12" s="151"/>
    </row>
    <row r="13" spans="6:33" x14ac:dyDescent="0.15"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</row>
    <row r="14" spans="6:33" ht="14.25" thickBot="1" x14ac:dyDescent="0.2"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</row>
    <row r="15" spans="6:33" ht="14.25" thickBot="1" x14ac:dyDescent="0.2">
      <c r="F15" s="151"/>
      <c r="G15" s="336"/>
      <c r="H15" s="337"/>
      <c r="I15" s="336" t="s">
        <v>611</v>
      </c>
      <c r="J15" s="345"/>
      <c r="K15" s="345"/>
      <c r="L15" s="345"/>
      <c r="M15" s="337"/>
      <c r="N15" s="445">
        <f>SUM(N10:Q13)</f>
        <v>122472</v>
      </c>
      <c r="O15" s="340"/>
      <c r="P15" s="340"/>
      <c r="Q15" s="341"/>
      <c r="R15" s="336" t="s">
        <v>603</v>
      </c>
      <c r="S15" s="337"/>
      <c r="T15" s="336"/>
      <c r="U15" s="337"/>
      <c r="V15" s="336" t="s">
        <v>612</v>
      </c>
      <c r="W15" s="345"/>
      <c r="X15" s="345"/>
      <c r="Y15" s="345"/>
      <c r="Z15" s="337"/>
      <c r="AA15" s="445">
        <f>+N15</f>
        <v>122472</v>
      </c>
      <c r="AB15" s="340"/>
      <c r="AC15" s="340"/>
      <c r="AD15" s="341"/>
      <c r="AE15" s="336" t="s">
        <v>603</v>
      </c>
      <c r="AF15" s="337"/>
      <c r="AG15" s="151"/>
    </row>
    <row r="16" spans="6:33" x14ac:dyDescent="0.15"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</row>
    <row r="17" spans="6:33" ht="14.25" thickBot="1" x14ac:dyDescent="0.2"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</row>
    <row r="18" spans="6:33" ht="19.5" thickBot="1" x14ac:dyDescent="0.25">
      <c r="F18" s="151"/>
      <c r="G18" s="361" t="s">
        <v>639</v>
      </c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3"/>
      <c r="AG18" s="151"/>
    </row>
    <row r="19" spans="6:33" ht="14.25" thickBot="1" x14ac:dyDescent="0.2">
      <c r="F19" s="151"/>
      <c r="G19" s="336" t="s">
        <v>630</v>
      </c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37"/>
      <c r="AG19" s="151"/>
    </row>
    <row r="20" spans="6:33" ht="14.25" thickBot="1" x14ac:dyDescent="0.2"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</row>
    <row r="21" spans="6:33" ht="14.25" thickBot="1" x14ac:dyDescent="0.2"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336" t="s">
        <v>2</v>
      </c>
      <c r="Z21" s="337"/>
      <c r="AA21" s="351" t="s">
        <v>621</v>
      </c>
      <c r="AB21" s="352"/>
      <c r="AC21" s="351" t="s">
        <v>622</v>
      </c>
      <c r="AD21" s="352"/>
      <c r="AE21" s="351" t="s">
        <v>623</v>
      </c>
      <c r="AF21" s="352"/>
      <c r="AG21" s="151"/>
    </row>
    <row r="22" spans="6:33" ht="14.25" thickBot="1" x14ac:dyDescent="0.2"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336" t="s">
        <v>5</v>
      </c>
      <c r="Z22" s="337"/>
      <c r="AA22" s="336" t="s">
        <v>6</v>
      </c>
      <c r="AB22" s="337"/>
      <c r="AC22" s="336" t="s">
        <v>7</v>
      </c>
      <c r="AD22" s="337"/>
      <c r="AE22" s="336" t="s">
        <v>0</v>
      </c>
      <c r="AF22" s="337"/>
      <c r="AG22" s="151"/>
    </row>
    <row r="23" spans="6:33" ht="14.25" thickBot="1" x14ac:dyDescent="0.2"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336" t="s">
        <v>8</v>
      </c>
      <c r="Z23" s="337"/>
      <c r="AA23" s="336" t="s">
        <v>9</v>
      </c>
      <c r="AB23" s="337"/>
      <c r="AC23" s="336" t="s">
        <v>9</v>
      </c>
      <c r="AD23" s="337"/>
      <c r="AE23" s="336" t="s">
        <v>9</v>
      </c>
      <c r="AF23" s="337"/>
      <c r="AG23" s="151"/>
    </row>
    <row r="24" spans="6:33" ht="14.25" thickBot="1" x14ac:dyDescent="0.2"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336" t="s">
        <v>11</v>
      </c>
      <c r="Z24" s="337"/>
      <c r="AA24" s="336" t="s">
        <v>12</v>
      </c>
      <c r="AB24" s="337"/>
      <c r="AC24" s="336" t="s">
        <v>12</v>
      </c>
      <c r="AD24" s="337"/>
      <c r="AE24" s="336" t="s">
        <v>12</v>
      </c>
      <c r="AF24" s="337"/>
      <c r="AG24" s="151"/>
    </row>
    <row r="25" spans="6:33" ht="14.25" thickBot="1" x14ac:dyDescent="0.2"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</row>
    <row r="26" spans="6:33" ht="14.25" thickBot="1" x14ac:dyDescent="0.2">
      <c r="F26" s="151"/>
      <c r="G26" s="336" t="s">
        <v>115</v>
      </c>
      <c r="H26" s="337"/>
      <c r="I26" s="336" t="s">
        <v>602</v>
      </c>
      <c r="J26" s="345"/>
      <c r="K26" s="345"/>
      <c r="L26" s="345"/>
      <c r="M26" s="345"/>
      <c r="N26" s="345"/>
      <c r="O26" s="345"/>
      <c r="P26" s="345"/>
      <c r="Q26" s="345"/>
      <c r="R26" s="337"/>
      <c r="S26" s="336" t="s">
        <v>606</v>
      </c>
      <c r="T26" s="345"/>
      <c r="U26" s="345"/>
      <c r="V26" s="345"/>
      <c r="W26" s="337"/>
      <c r="X26" s="351" t="s">
        <v>632</v>
      </c>
      <c r="Y26" s="352"/>
      <c r="Z26" s="336" t="s">
        <v>631</v>
      </c>
      <c r="AA26" s="345"/>
      <c r="AB26" s="345"/>
      <c r="AC26" s="345"/>
      <c r="AD26" s="345"/>
      <c r="AE26" s="345"/>
      <c r="AF26" s="337"/>
      <c r="AG26" s="151"/>
    </row>
    <row r="27" spans="6:33" ht="14.25" thickBot="1" x14ac:dyDescent="0.2"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</row>
    <row r="28" spans="6:33" ht="19.5" thickBot="1" x14ac:dyDescent="0.25">
      <c r="F28" s="151"/>
      <c r="G28" s="336">
        <v>1</v>
      </c>
      <c r="H28" s="337"/>
      <c r="I28" s="353" t="s">
        <v>620</v>
      </c>
      <c r="J28" s="354"/>
      <c r="K28" s="354"/>
      <c r="L28" s="354"/>
      <c r="M28" s="354"/>
      <c r="N28" s="354"/>
      <c r="O28" s="354"/>
      <c r="P28" s="354"/>
      <c r="Q28" s="354"/>
      <c r="R28" s="355"/>
      <c r="S28" s="447">
        <f>+AA12</f>
        <v>116121</v>
      </c>
      <c r="T28" s="356"/>
      <c r="U28" s="356"/>
      <c r="V28" s="356"/>
      <c r="W28" s="357"/>
      <c r="X28" s="336" t="s">
        <v>603</v>
      </c>
      <c r="Y28" s="337"/>
      <c r="Z28" s="358"/>
      <c r="AA28" s="359"/>
      <c r="AB28" s="359"/>
      <c r="AC28" s="359"/>
      <c r="AD28" s="359"/>
      <c r="AE28" s="359"/>
      <c r="AF28" s="360"/>
      <c r="AG28" s="151"/>
    </row>
    <row r="29" spans="6:33" x14ac:dyDescent="0.15"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</row>
    <row r="30" spans="6:33" x14ac:dyDescent="0.15"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</row>
    <row r="31" spans="6:33" x14ac:dyDescent="0.15"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</row>
    <row r="32" spans="6:33" ht="14.25" thickBot="1" x14ac:dyDescent="0.2"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</row>
    <row r="33" spans="6:33" ht="18" thickBot="1" x14ac:dyDescent="0.25">
      <c r="F33" s="151"/>
      <c r="G33" s="333" t="s">
        <v>640</v>
      </c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5"/>
      <c r="AG33" s="151"/>
    </row>
    <row r="34" spans="6:33" ht="14.25" thickBot="1" x14ac:dyDescent="0.2">
      <c r="F34" s="151"/>
      <c r="G34" s="330" t="s">
        <v>633</v>
      </c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2"/>
      <c r="AG34" s="151"/>
    </row>
    <row r="35" spans="6:33" ht="14.25" thickBot="1" x14ac:dyDescent="0.2">
      <c r="F35" s="151"/>
      <c r="G35" s="330" t="s">
        <v>634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2"/>
      <c r="AG35" s="151"/>
    </row>
    <row r="36" spans="6:33" ht="14.25" thickBot="1" x14ac:dyDescent="0.2">
      <c r="F36" s="151"/>
      <c r="G36" s="336" t="s">
        <v>604</v>
      </c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37"/>
      <c r="T36" s="336" t="s">
        <v>605</v>
      </c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37"/>
      <c r="AG36" s="151"/>
    </row>
    <row r="37" spans="6:33" ht="14.25" thickBot="1" x14ac:dyDescent="0.2">
      <c r="F37" s="151"/>
      <c r="G37" s="342" t="s">
        <v>601</v>
      </c>
      <c r="H37" s="343"/>
      <c r="I37" s="342" t="s">
        <v>602</v>
      </c>
      <c r="J37" s="344"/>
      <c r="K37" s="344"/>
      <c r="L37" s="344"/>
      <c r="M37" s="343"/>
      <c r="N37" s="342" t="s">
        <v>607</v>
      </c>
      <c r="O37" s="344"/>
      <c r="P37" s="344"/>
      <c r="Q37" s="343"/>
      <c r="R37" s="336" t="s">
        <v>608</v>
      </c>
      <c r="S37" s="337"/>
      <c r="T37" s="342" t="s">
        <v>601</v>
      </c>
      <c r="U37" s="343"/>
      <c r="V37" s="342" t="s">
        <v>602</v>
      </c>
      <c r="W37" s="344"/>
      <c r="X37" s="344"/>
      <c r="Y37" s="344"/>
      <c r="Z37" s="343"/>
      <c r="AA37" s="342" t="s">
        <v>607</v>
      </c>
      <c r="AB37" s="344"/>
      <c r="AC37" s="344"/>
      <c r="AD37" s="343"/>
      <c r="AE37" s="336" t="s">
        <v>608</v>
      </c>
      <c r="AF37" s="337"/>
      <c r="AG37" s="151"/>
    </row>
    <row r="38" spans="6:33" ht="14.25" thickBot="1" x14ac:dyDescent="0.2"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</row>
    <row r="39" spans="6:33" ht="14.25" thickBot="1" x14ac:dyDescent="0.2">
      <c r="F39" s="151"/>
      <c r="G39" s="336"/>
      <c r="H39" s="337"/>
      <c r="I39" s="444"/>
      <c r="J39" s="338"/>
      <c r="K39" s="338"/>
      <c r="L39" s="338"/>
      <c r="M39" s="339"/>
      <c r="N39" s="445"/>
      <c r="O39" s="340"/>
      <c r="P39" s="340"/>
      <c r="Q39" s="341"/>
      <c r="R39" s="336" t="s">
        <v>603</v>
      </c>
      <c r="S39" s="337"/>
      <c r="T39" s="336" t="s">
        <v>617</v>
      </c>
      <c r="U39" s="337"/>
      <c r="V39" s="444" t="s">
        <v>618</v>
      </c>
      <c r="W39" s="338"/>
      <c r="X39" s="338"/>
      <c r="Y39" s="338"/>
      <c r="Z39" s="339"/>
      <c r="AA39" s="445">
        <f>⑩予算比較貸借対照表!J14</f>
        <v>6351</v>
      </c>
      <c r="AB39" s="340"/>
      <c r="AC39" s="340"/>
      <c r="AD39" s="341"/>
      <c r="AE39" s="336" t="s">
        <v>603</v>
      </c>
      <c r="AF39" s="337"/>
      <c r="AG39" s="151"/>
    </row>
    <row r="40" spans="6:33" ht="14.25" thickBot="1" x14ac:dyDescent="0.2"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</row>
    <row r="41" spans="6:33" ht="32.450000000000003" customHeight="1" thickBot="1" x14ac:dyDescent="0.25">
      <c r="F41" s="151"/>
      <c r="G41" s="336"/>
      <c r="H41" s="337"/>
      <c r="I41" s="444"/>
      <c r="J41" s="338"/>
      <c r="K41" s="338"/>
      <c r="L41" s="338"/>
      <c r="M41" s="339"/>
      <c r="N41" s="445"/>
      <c r="O41" s="340"/>
      <c r="P41" s="340"/>
      <c r="Q41" s="341"/>
      <c r="R41" s="336" t="s">
        <v>603</v>
      </c>
      <c r="S41" s="337"/>
      <c r="T41" s="336" t="s">
        <v>619</v>
      </c>
      <c r="U41" s="337"/>
      <c r="V41" s="364" t="s">
        <v>637</v>
      </c>
      <c r="W41" s="365"/>
      <c r="X41" s="365"/>
      <c r="Y41" s="365"/>
      <c r="Z41" s="366"/>
      <c r="AA41" s="446">
        <f>+AA44-AA39</f>
        <v>-6351</v>
      </c>
      <c r="AB41" s="349"/>
      <c r="AC41" s="349"/>
      <c r="AD41" s="350"/>
      <c r="AE41" s="336" t="s">
        <v>603</v>
      </c>
      <c r="AF41" s="337"/>
      <c r="AG41" s="151"/>
    </row>
    <row r="42" spans="6:33" x14ac:dyDescent="0.15"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</row>
    <row r="43" spans="6:33" ht="14.25" thickBot="1" x14ac:dyDescent="0.2"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</row>
    <row r="44" spans="6:33" ht="14.25" thickBot="1" x14ac:dyDescent="0.2">
      <c r="F44" s="151"/>
      <c r="G44" s="336"/>
      <c r="H44" s="337"/>
      <c r="I44" s="336" t="s">
        <v>611</v>
      </c>
      <c r="J44" s="345"/>
      <c r="K44" s="345"/>
      <c r="L44" s="345"/>
      <c r="M44" s="337"/>
      <c r="N44" s="445">
        <f>SUM(N39:Q42)</f>
        <v>0</v>
      </c>
      <c r="O44" s="340"/>
      <c r="P44" s="340"/>
      <c r="Q44" s="341"/>
      <c r="R44" s="336" t="s">
        <v>603</v>
      </c>
      <c r="S44" s="337"/>
      <c r="T44" s="336"/>
      <c r="U44" s="337"/>
      <c r="V44" s="336" t="s">
        <v>612</v>
      </c>
      <c r="W44" s="345"/>
      <c r="X44" s="345"/>
      <c r="Y44" s="345"/>
      <c r="Z44" s="337"/>
      <c r="AA44" s="445">
        <f>+N44</f>
        <v>0</v>
      </c>
      <c r="AB44" s="340"/>
      <c r="AC44" s="340"/>
      <c r="AD44" s="341"/>
      <c r="AE44" s="336" t="s">
        <v>603</v>
      </c>
      <c r="AF44" s="337"/>
      <c r="AG44" s="151"/>
    </row>
    <row r="45" spans="6:33" x14ac:dyDescent="0.15"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</row>
    <row r="46" spans="6:33" ht="14.25" thickBot="1" x14ac:dyDescent="0.2"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</row>
    <row r="47" spans="6:33" ht="19.5" thickBot="1" x14ac:dyDescent="0.25">
      <c r="F47" s="151"/>
      <c r="G47" s="361" t="s">
        <v>641</v>
      </c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  <c r="Y47" s="362"/>
      <c r="Z47" s="362"/>
      <c r="AA47" s="362"/>
      <c r="AB47" s="362"/>
      <c r="AC47" s="362"/>
      <c r="AD47" s="362"/>
      <c r="AE47" s="362"/>
      <c r="AF47" s="363"/>
      <c r="AG47" s="151"/>
    </row>
    <row r="48" spans="6:33" ht="14.25" thickBot="1" x14ac:dyDescent="0.2">
      <c r="F48" s="151"/>
      <c r="G48" s="336" t="s">
        <v>630</v>
      </c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37"/>
      <c r="AG48" s="151"/>
    </row>
    <row r="49" spans="6:33" ht="14.25" thickBot="1" x14ac:dyDescent="0.2"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</row>
    <row r="50" spans="6:33" ht="14.25" thickBot="1" x14ac:dyDescent="0.2"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336" t="s">
        <v>2</v>
      </c>
      <c r="Z50" s="337"/>
      <c r="AA50" s="351" t="s">
        <v>621</v>
      </c>
      <c r="AB50" s="352"/>
      <c r="AC50" s="351" t="s">
        <v>622</v>
      </c>
      <c r="AD50" s="352"/>
      <c r="AE50" s="351" t="s">
        <v>623</v>
      </c>
      <c r="AF50" s="352"/>
      <c r="AG50" s="151"/>
    </row>
    <row r="51" spans="6:33" ht="14.25" thickBot="1" x14ac:dyDescent="0.2"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336" t="s">
        <v>5</v>
      </c>
      <c r="Z51" s="337"/>
      <c r="AA51" s="336" t="s">
        <v>6</v>
      </c>
      <c r="AB51" s="337"/>
      <c r="AC51" s="336" t="s">
        <v>7</v>
      </c>
      <c r="AD51" s="337"/>
      <c r="AE51" s="336" t="s">
        <v>0</v>
      </c>
      <c r="AF51" s="337"/>
      <c r="AG51" s="151"/>
    </row>
    <row r="52" spans="6:33" ht="14.25" thickBot="1" x14ac:dyDescent="0.2"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336" t="s">
        <v>8</v>
      </c>
      <c r="Z52" s="337"/>
      <c r="AA52" s="336" t="s">
        <v>9</v>
      </c>
      <c r="AB52" s="337"/>
      <c r="AC52" s="336" t="s">
        <v>9</v>
      </c>
      <c r="AD52" s="337"/>
      <c r="AE52" s="336" t="s">
        <v>9</v>
      </c>
      <c r="AF52" s="337"/>
      <c r="AG52" s="151"/>
    </row>
    <row r="53" spans="6:33" ht="14.25" thickBot="1" x14ac:dyDescent="0.2"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336" t="s">
        <v>11</v>
      </c>
      <c r="Z53" s="337"/>
      <c r="AA53" s="336" t="s">
        <v>12</v>
      </c>
      <c r="AB53" s="337"/>
      <c r="AC53" s="336" t="s">
        <v>12</v>
      </c>
      <c r="AD53" s="337"/>
      <c r="AE53" s="336" t="s">
        <v>12</v>
      </c>
      <c r="AF53" s="337"/>
      <c r="AG53" s="151"/>
    </row>
    <row r="54" spans="6:33" ht="14.25" thickBot="1" x14ac:dyDescent="0.2"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</row>
    <row r="55" spans="6:33" ht="14.25" thickBot="1" x14ac:dyDescent="0.2">
      <c r="F55" s="151"/>
      <c r="G55" s="336" t="s">
        <v>115</v>
      </c>
      <c r="H55" s="337"/>
      <c r="I55" s="336" t="s">
        <v>602</v>
      </c>
      <c r="J55" s="345"/>
      <c r="K55" s="345"/>
      <c r="L55" s="345"/>
      <c r="M55" s="345"/>
      <c r="N55" s="345"/>
      <c r="O55" s="345"/>
      <c r="P55" s="345"/>
      <c r="Q55" s="345"/>
      <c r="R55" s="337"/>
      <c r="S55" s="336" t="s">
        <v>606</v>
      </c>
      <c r="T55" s="345"/>
      <c r="U55" s="345"/>
      <c r="V55" s="345"/>
      <c r="W55" s="337"/>
      <c r="X55" s="351" t="s">
        <v>632</v>
      </c>
      <c r="Y55" s="352"/>
      <c r="Z55" s="336" t="s">
        <v>631</v>
      </c>
      <c r="AA55" s="345"/>
      <c r="AB55" s="345"/>
      <c r="AC55" s="345"/>
      <c r="AD55" s="345"/>
      <c r="AE55" s="345"/>
      <c r="AF55" s="337"/>
      <c r="AG55" s="151"/>
    </row>
    <row r="56" spans="6:33" x14ac:dyDescent="0.15"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</row>
    <row r="57" spans="6:33" x14ac:dyDescent="0.15">
      <c r="F57" s="151"/>
      <c r="G57" s="151" t="s">
        <v>636</v>
      </c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</row>
    <row r="58" spans="6:33" ht="14.25" thickBot="1" x14ac:dyDescent="0.2"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</row>
    <row r="59" spans="6:33" ht="19.5" thickBot="1" x14ac:dyDescent="0.25">
      <c r="F59" s="151"/>
      <c r="G59" s="336" t="s">
        <v>635</v>
      </c>
      <c r="H59" s="337"/>
      <c r="I59" s="353" t="str">
        <f>V41</f>
        <v>売上債権の
増減額</v>
      </c>
      <c r="J59" s="354"/>
      <c r="K59" s="354"/>
      <c r="L59" s="354"/>
      <c r="M59" s="354"/>
      <c r="N59" s="354"/>
      <c r="O59" s="354"/>
      <c r="P59" s="354"/>
      <c r="Q59" s="354"/>
      <c r="R59" s="355"/>
      <c r="S59" s="447">
        <f>+AA41</f>
        <v>-6351</v>
      </c>
      <c r="T59" s="356"/>
      <c r="U59" s="356"/>
      <c r="V59" s="356"/>
      <c r="W59" s="357"/>
      <c r="X59" s="336" t="s">
        <v>603</v>
      </c>
      <c r="Y59" s="337"/>
      <c r="Z59" s="358"/>
      <c r="AA59" s="359"/>
      <c r="AB59" s="359"/>
      <c r="AC59" s="359"/>
      <c r="AD59" s="359"/>
      <c r="AE59" s="359"/>
      <c r="AF59" s="360"/>
      <c r="AG59" s="151"/>
    </row>
    <row r="60" spans="6:33" x14ac:dyDescent="0.15"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</row>
  </sheetData>
  <mergeCells count="130">
    <mergeCell ref="G59:H59"/>
    <mergeCell ref="I59:R59"/>
    <mergeCell ref="S59:W59"/>
    <mergeCell ref="X59:Y59"/>
    <mergeCell ref="Z59:AF59"/>
    <mergeCell ref="Y53:Z53"/>
    <mergeCell ref="AA53:AB53"/>
    <mergeCell ref="AC53:AD53"/>
    <mergeCell ref="AE53:AF53"/>
    <mergeCell ref="G55:H55"/>
    <mergeCell ref="I55:R55"/>
    <mergeCell ref="S55:W55"/>
    <mergeCell ref="X55:Y55"/>
    <mergeCell ref="Z55:AF55"/>
    <mergeCell ref="Y51:Z51"/>
    <mergeCell ref="AA51:AB51"/>
    <mergeCell ref="AC51:AD51"/>
    <mergeCell ref="AE51:AF51"/>
    <mergeCell ref="Y52:Z52"/>
    <mergeCell ref="AA52:AB52"/>
    <mergeCell ref="AC52:AD52"/>
    <mergeCell ref="AE52:AF52"/>
    <mergeCell ref="G47:AF47"/>
    <mergeCell ref="G48:AF48"/>
    <mergeCell ref="Y50:Z50"/>
    <mergeCell ref="AA50:AB50"/>
    <mergeCell ref="AC50:AD50"/>
    <mergeCell ref="AE50:AF50"/>
    <mergeCell ref="G44:H44"/>
    <mergeCell ref="I44:M44"/>
    <mergeCell ref="N44:Q44"/>
    <mergeCell ref="R44:S44"/>
    <mergeCell ref="T44:U44"/>
    <mergeCell ref="V44:Z44"/>
    <mergeCell ref="AA44:AD44"/>
    <mergeCell ref="AE44:AF44"/>
    <mergeCell ref="G41:H41"/>
    <mergeCell ref="I41:M41"/>
    <mergeCell ref="N41:Q41"/>
    <mergeCell ref="R41:S41"/>
    <mergeCell ref="T41:U41"/>
    <mergeCell ref="V41:Z41"/>
    <mergeCell ref="G39:H39"/>
    <mergeCell ref="I39:M39"/>
    <mergeCell ref="N39:Q39"/>
    <mergeCell ref="R39:S39"/>
    <mergeCell ref="T39:U39"/>
    <mergeCell ref="V39:Z39"/>
    <mergeCell ref="AA39:AD39"/>
    <mergeCell ref="AE39:AF39"/>
    <mergeCell ref="AA41:AD41"/>
    <mergeCell ref="AE41:AF41"/>
    <mergeCell ref="G34:AF34"/>
    <mergeCell ref="G35:AF35"/>
    <mergeCell ref="G36:S36"/>
    <mergeCell ref="T36:AF36"/>
    <mergeCell ref="G37:H37"/>
    <mergeCell ref="I37:M37"/>
    <mergeCell ref="N37:Q37"/>
    <mergeCell ref="R37:S37"/>
    <mergeCell ref="T37:U37"/>
    <mergeCell ref="V37:Z37"/>
    <mergeCell ref="AA37:AD37"/>
    <mergeCell ref="AE37:AF37"/>
    <mergeCell ref="G28:H28"/>
    <mergeCell ref="I28:R28"/>
    <mergeCell ref="S28:W28"/>
    <mergeCell ref="X28:Y28"/>
    <mergeCell ref="Z28:AF28"/>
    <mergeCell ref="G33:AF33"/>
    <mergeCell ref="G18:AF18"/>
    <mergeCell ref="G19:AF19"/>
    <mergeCell ref="G26:H26"/>
    <mergeCell ref="I26:R26"/>
    <mergeCell ref="S26:W26"/>
    <mergeCell ref="X26:Y26"/>
    <mergeCell ref="Z26:AF26"/>
    <mergeCell ref="AA21:AB21"/>
    <mergeCell ref="AA22:AB22"/>
    <mergeCell ref="AA23:AB23"/>
    <mergeCell ref="AA24:AB24"/>
    <mergeCell ref="Y21:Z21"/>
    <mergeCell ref="Y22:Z22"/>
    <mergeCell ref="Y23:Z23"/>
    <mergeCell ref="Y24:Z24"/>
    <mergeCell ref="AE21:AF21"/>
    <mergeCell ref="AE22:AF22"/>
    <mergeCell ref="AE23:AF23"/>
    <mergeCell ref="G12:H12"/>
    <mergeCell ref="I12:M12"/>
    <mergeCell ref="N12:Q12"/>
    <mergeCell ref="R12:S12"/>
    <mergeCell ref="T12:U12"/>
    <mergeCell ref="V12:Z12"/>
    <mergeCell ref="AA12:AD12"/>
    <mergeCell ref="AE12:AF12"/>
    <mergeCell ref="AE24:AF24"/>
    <mergeCell ref="AC21:AD21"/>
    <mergeCell ref="AC22:AD22"/>
    <mergeCell ref="AC23:AD23"/>
    <mergeCell ref="AC24:AD24"/>
    <mergeCell ref="G15:H15"/>
    <mergeCell ref="I15:M15"/>
    <mergeCell ref="N15:Q15"/>
    <mergeCell ref="R15:S15"/>
    <mergeCell ref="T15:U15"/>
    <mergeCell ref="V15:Z15"/>
    <mergeCell ref="AA15:AD15"/>
    <mergeCell ref="AE15:AF15"/>
    <mergeCell ref="G5:AF5"/>
    <mergeCell ref="G4:AF4"/>
    <mergeCell ref="G6:AF6"/>
    <mergeCell ref="G10:H10"/>
    <mergeCell ref="I10:M10"/>
    <mergeCell ref="N10:Q10"/>
    <mergeCell ref="R10:S10"/>
    <mergeCell ref="T10:U10"/>
    <mergeCell ref="V10:Z10"/>
    <mergeCell ref="AA10:AD10"/>
    <mergeCell ref="G8:H8"/>
    <mergeCell ref="I8:M8"/>
    <mergeCell ref="N8:Q8"/>
    <mergeCell ref="R8:S8"/>
    <mergeCell ref="G7:S7"/>
    <mergeCell ref="T7:AF7"/>
    <mergeCell ref="T8:U8"/>
    <mergeCell ref="V8:Z8"/>
    <mergeCell ref="AA8:AD8"/>
    <mergeCell ref="AE8:AF8"/>
    <mergeCell ref="AE10:AF10"/>
  </mergeCells>
  <phoneticPr fontId="2"/>
  <printOptions horizontalCentered="1"/>
  <pageMargins left="0.19685039370078741" right="0.19685039370078741" top="0.27559055118110237" bottom="0.19685039370078741" header="0.19685039370078741" footer="0.19685039370078741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D93"/>
  <sheetViews>
    <sheetView workbookViewId="0">
      <selection activeCell="E11" sqref="E11:H11"/>
    </sheetView>
  </sheetViews>
  <sheetFormatPr defaultRowHeight="13.5" x14ac:dyDescent="0.15"/>
  <cols>
    <col min="4" max="8" width="6.625" customWidth="1"/>
    <col min="9" max="9" width="3.625" customWidth="1"/>
    <col min="10" max="10" width="3.75" customWidth="1"/>
    <col min="11" max="11" width="6" customWidth="1"/>
    <col min="12" max="12" width="1.875" customWidth="1"/>
    <col min="13" max="13" width="4.125" customWidth="1"/>
    <col min="14" max="25" width="6" customWidth="1"/>
    <col min="26" max="30" width="1.625" customWidth="1"/>
  </cols>
  <sheetData>
    <row r="2" spans="4:30" ht="24" x14ac:dyDescent="0.15">
      <c r="D2" s="155" t="s">
        <v>576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4:30" ht="6" customHeight="1" x14ac:dyDescent="0.15"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4:30" ht="24" x14ac:dyDescent="0.15">
      <c r="D4" s="155" t="s">
        <v>211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</row>
    <row r="5" spans="4:30" ht="18.75" x14ac:dyDescent="0.15">
      <c r="D5" s="74" t="s">
        <v>212</v>
      </c>
      <c r="AD5" s="75" t="s">
        <v>213</v>
      </c>
    </row>
    <row r="6" spans="4:30" ht="9.6" customHeight="1" thickBot="1" x14ac:dyDescent="0.2"/>
    <row r="7" spans="4:30" ht="14.25" thickBot="1" x14ac:dyDescent="0.2">
      <c r="D7" s="3" t="s">
        <v>214</v>
      </c>
      <c r="E7" s="153" t="s">
        <v>215</v>
      </c>
      <c r="F7" s="192"/>
      <c r="G7" s="192"/>
      <c r="H7" s="154"/>
      <c r="I7" s="153" t="s">
        <v>216</v>
      </c>
      <c r="J7" s="154"/>
      <c r="K7" s="76" t="s">
        <v>217</v>
      </c>
      <c r="L7" s="153" t="s">
        <v>218</v>
      </c>
      <c r="M7" s="192"/>
      <c r="N7" s="185" t="s">
        <v>219</v>
      </c>
      <c r="O7" s="185"/>
      <c r="P7" s="185"/>
      <c r="Q7" s="185"/>
      <c r="R7" s="185"/>
      <c r="S7" s="185"/>
      <c r="T7" s="193" t="s">
        <v>220</v>
      </c>
      <c r="U7" s="185"/>
      <c r="V7" s="193" t="s">
        <v>221</v>
      </c>
      <c r="W7" s="185"/>
      <c r="X7" s="193" t="s">
        <v>222</v>
      </c>
      <c r="Y7" s="185"/>
      <c r="Z7" s="194" t="s">
        <v>223</v>
      </c>
      <c r="AA7" s="195"/>
      <c r="AB7" s="195"/>
      <c r="AC7" s="195"/>
      <c r="AD7" s="196"/>
    </row>
    <row r="8" spans="4:30" x14ac:dyDescent="0.15">
      <c r="N8" s="185" t="s">
        <v>224</v>
      </c>
      <c r="O8" s="185"/>
      <c r="P8" s="185" t="s">
        <v>225</v>
      </c>
      <c r="Q8" s="185"/>
      <c r="R8" s="185"/>
      <c r="S8" s="185"/>
      <c r="T8" s="185"/>
      <c r="U8" s="185"/>
      <c r="V8" s="185"/>
      <c r="W8" s="185"/>
      <c r="X8" s="185"/>
      <c r="Y8" s="185"/>
      <c r="Z8" s="197"/>
      <c r="AA8" s="198"/>
      <c r="AB8" s="198"/>
      <c r="AC8" s="198"/>
      <c r="AD8" s="199"/>
    </row>
    <row r="9" spans="4:30" x14ac:dyDescent="0.15">
      <c r="N9" s="185"/>
      <c r="O9" s="185"/>
      <c r="P9" s="186" t="s">
        <v>226</v>
      </c>
      <c r="Q9" s="186"/>
      <c r="R9" s="186" t="s">
        <v>227</v>
      </c>
      <c r="S9" s="186"/>
      <c r="T9" s="185"/>
      <c r="U9" s="185"/>
      <c r="V9" s="185"/>
      <c r="W9" s="185"/>
      <c r="X9" s="185"/>
      <c r="Y9" s="185"/>
      <c r="Z9" s="200"/>
      <c r="AA9" s="201"/>
      <c r="AB9" s="201"/>
      <c r="AC9" s="201"/>
      <c r="AD9" s="202"/>
    </row>
    <row r="10" spans="4:30" ht="14.25" thickBot="1" x14ac:dyDescent="0.2">
      <c r="D10" s="77" t="s">
        <v>228</v>
      </c>
      <c r="O10" s="78"/>
      <c r="P10" s="78"/>
      <c r="Q10" s="78"/>
      <c r="R10" s="78"/>
      <c r="S10" s="78"/>
    </row>
    <row r="11" spans="4:30" ht="14.25" thickBot="1" x14ac:dyDescent="0.2">
      <c r="D11" s="3">
        <v>1</v>
      </c>
      <c r="E11" s="187" t="s">
        <v>195</v>
      </c>
      <c r="F11" s="188"/>
      <c r="G11" s="188"/>
      <c r="H11" s="188"/>
      <c r="I11" s="79">
        <v>2</v>
      </c>
      <c r="J11" s="378" t="str">
        <f>IF(I11=1,"借",IF(I11=2,"貸",""))</f>
        <v>貸</v>
      </c>
      <c r="K11" s="79" t="s">
        <v>19</v>
      </c>
      <c r="L11" s="79"/>
      <c r="M11" s="378" t="str">
        <f>IF(L11=1,"変",IF(L11=2,"固",""))</f>
        <v/>
      </c>
      <c r="N11" s="189">
        <v>100000</v>
      </c>
      <c r="O11" s="190"/>
      <c r="P11" s="393" t="str">
        <f>IF(AND($I11=1,$L11=1),$N11,IF(AND($I11=2,$L11=1),-$N11,""))</f>
        <v/>
      </c>
      <c r="Q11" s="191"/>
      <c r="R11" s="393" t="str">
        <f>IF(AND($I11=1,$L11=2),N11,IF(AND($I11=2,$L11=2),-N11,""))</f>
        <v/>
      </c>
      <c r="S11" s="191"/>
      <c r="T11" s="211">
        <v>165000</v>
      </c>
      <c r="U11" s="211"/>
      <c r="V11" s="393">
        <f>IF(I11=1,T11-N11,IF(I11=2,N11-T11,""))</f>
        <v>-65000</v>
      </c>
      <c r="W11" s="191"/>
      <c r="X11" s="394">
        <f t="shared" ref="X11" si="0">IF(OR(T11="",T11=0),"",ROUND(V11/T11,2))</f>
        <v>-0.39</v>
      </c>
      <c r="Y11" s="207"/>
      <c r="Z11" s="208" t="s">
        <v>9</v>
      </c>
      <c r="AA11" s="209"/>
      <c r="AB11" s="209"/>
      <c r="AC11" s="209"/>
      <c r="AD11" s="210"/>
    </row>
    <row r="12" spans="4:30" ht="14.25" thickBot="1" x14ac:dyDescent="0.2">
      <c r="E12" s="77" t="s">
        <v>229</v>
      </c>
      <c r="AA12" s="64"/>
      <c r="AB12" s="64"/>
      <c r="AC12" s="64"/>
      <c r="AD12" s="64"/>
    </row>
    <row r="13" spans="4:30" ht="14.25" thickBot="1" x14ac:dyDescent="0.2">
      <c r="E13" s="187" t="s">
        <v>87</v>
      </c>
      <c r="F13" s="188"/>
      <c r="G13" s="188"/>
      <c r="H13" s="203"/>
      <c r="N13" s="204">
        <v>100</v>
      </c>
      <c r="O13" s="205"/>
      <c r="T13" s="206">
        <v>110</v>
      </c>
      <c r="U13" s="206"/>
      <c r="V13" s="393">
        <f>+N13-T13</f>
        <v>-10</v>
      </c>
      <c r="W13" s="191"/>
      <c r="X13" s="394">
        <f t="shared" ref="X13:X14" si="1">IF(OR(T13="",T13=0),"",ROUND(V13/T13,2))</f>
        <v>-0.09</v>
      </c>
      <c r="Y13" s="207"/>
      <c r="Z13" s="208" t="s">
        <v>9</v>
      </c>
      <c r="AA13" s="209"/>
      <c r="AB13" s="209"/>
      <c r="AC13" s="209"/>
      <c r="AD13" s="210"/>
    </row>
    <row r="14" spans="4:30" ht="14.25" thickBot="1" x14ac:dyDescent="0.2">
      <c r="E14" s="187" t="s">
        <v>230</v>
      </c>
      <c r="F14" s="188"/>
      <c r="G14" s="188"/>
      <c r="H14" s="203"/>
      <c r="N14" s="204">
        <v>1000</v>
      </c>
      <c r="O14" s="205"/>
      <c r="T14" s="206">
        <v>1260</v>
      </c>
      <c r="U14" s="206"/>
      <c r="V14" s="393">
        <f>+N14-T14</f>
        <v>-260</v>
      </c>
      <c r="W14" s="191"/>
      <c r="X14" s="394">
        <f t="shared" si="1"/>
        <v>-0.21</v>
      </c>
      <c r="Y14" s="207"/>
      <c r="Z14" s="208" t="s">
        <v>9</v>
      </c>
      <c r="AA14" s="209"/>
      <c r="AB14" s="209"/>
      <c r="AC14" s="209"/>
      <c r="AD14" s="210"/>
    </row>
    <row r="15" spans="4:30" ht="14.25" thickBot="1" x14ac:dyDescent="0.2">
      <c r="D15" s="77" t="s">
        <v>231</v>
      </c>
    </row>
    <row r="16" spans="4:30" ht="14.25" thickBot="1" x14ac:dyDescent="0.2">
      <c r="D16" s="3">
        <v>2</v>
      </c>
      <c r="E16" s="212" t="s">
        <v>232</v>
      </c>
      <c r="F16" s="213"/>
      <c r="G16" s="213"/>
      <c r="H16" s="213"/>
      <c r="I16" s="79">
        <v>1</v>
      </c>
      <c r="J16" s="378" t="str">
        <f>IF(I16=1,"借",IF(I16=2,"貸",""))</f>
        <v>借</v>
      </c>
      <c r="K16" s="79"/>
      <c r="L16" s="79"/>
      <c r="M16" s="378" t="str">
        <f>IF(L16=1,"変",IF(L16=2,"固",""))</f>
        <v/>
      </c>
      <c r="N16" s="189">
        <v>0</v>
      </c>
      <c r="O16" s="190"/>
      <c r="P16" s="393" t="str">
        <f t="shared" ref="P16:P17" si="2">IF(AND($I16=1,$L16=1),$N16,IF(AND($I16=2,$L16=1),-$N16,""))</f>
        <v/>
      </c>
      <c r="Q16" s="191"/>
      <c r="R16" s="393" t="str">
        <f t="shared" ref="R16" si="3">IF(AND($I16=1,$L16=2),P16,IF(AND($I16=2,$L16=2),-P16,""))</f>
        <v/>
      </c>
      <c r="S16" s="191"/>
      <c r="T16" s="211">
        <v>0</v>
      </c>
      <c r="U16" s="211"/>
      <c r="V16" s="393">
        <f>IF(I16=1,T16-N16,IF(I16=2,N16-T16,""))</f>
        <v>0</v>
      </c>
      <c r="W16" s="191"/>
      <c r="X16" s="394" t="str">
        <f t="shared" ref="X16:X21" si="4">IF(OR(T16="",T16=0),"",ROUND(V16/T16,2))</f>
        <v/>
      </c>
      <c r="Y16" s="207"/>
      <c r="Z16" s="208" t="s">
        <v>9</v>
      </c>
      <c r="AA16" s="209"/>
      <c r="AB16" s="209"/>
      <c r="AC16" s="209"/>
      <c r="AD16" s="210"/>
    </row>
    <row r="17" spans="4:30" ht="14.25" thickBot="1" x14ac:dyDescent="0.2">
      <c r="D17" s="3">
        <v>3</v>
      </c>
      <c r="E17" s="212" t="s">
        <v>233</v>
      </c>
      <c r="F17" s="213"/>
      <c r="G17" s="213"/>
      <c r="H17" s="213"/>
      <c r="I17" s="79">
        <v>1</v>
      </c>
      <c r="J17" s="378" t="str">
        <f t="shared" ref="J17:J18" si="5">IF(I17=1,"借",IF(I17=2,"貸",""))</f>
        <v>借</v>
      </c>
      <c r="K17" s="79" t="s">
        <v>19</v>
      </c>
      <c r="L17" s="79">
        <v>1</v>
      </c>
      <c r="M17" s="378" t="str">
        <f t="shared" ref="M17:M18" si="6">IF(L17=1,"変",IF(L17=2,"固",""))</f>
        <v>変</v>
      </c>
      <c r="N17" s="189">
        <v>80000</v>
      </c>
      <c r="O17" s="190"/>
      <c r="P17" s="393">
        <f t="shared" si="2"/>
        <v>80000</v>
      </c>
      <c r="Q17" s="191"/>
      <c r="R17" s="393" t="str">
        <f>IF(AND($I17=1,$L17=2),N17,IF(AND($I17=2,$L17=2),-N17,""))</f>
        <v/>
      </c>
      <c r="S17" s="191"/>
      <c r="T17" s="211">
        <v>90000</v>
      </c>
      <c r="U17" s="211"/>
      <c r="V17" s="393">
        <f t="shared" ref="V17:V18" si="7">IF(I17=1,T17-N17,IF(I17=2,N17-T17,""))</f>
        <v>10000</v>
      </c>
      <c r="W17" s="191"/>
      <c r="X17" s="394">
        <f t="shared" si="4"/>
        <v>0.11</v>
      </c>
      <c r="Y17" s="207"/>
      <c r="Z17" s="208" t="s">
        <v>9</v>
      </c>
      <c r="AA17" s="209"/>
      <c r="AB17" s="209"/>
      <c r="AC17" s="209"/>
      <c r="AD17" s="210"/>
    </row>
    <row r="18" spans="4:30" ht="14.25" thickBot="1" x14ac:dyDescent="0.2">
      <c r="D18" s="3">
        <v>4</v>
      </c>
      <c r="E18" s="153" t="s">
        <v>234</v>
      </c>
      <c r="F18" s="192"/>
      <c r="G18" s="192"/>
      <c r="H18" s="214"/>
      <c r="I18" s="79">
        <v>1</v>
      </c>
      <c r="J18" s="378" t="str">
        <f t="shared" si="5"/>
        <v>借</v>
      </c>
      <c r="K18" s="79"/>
      <c r="L18" s="79"/>
      <c r="M18" s="378" t="str">
        <f t="shared" si="6"/>
        <v/>
      </c>
      <c r="N18" s="215">
        <f>SUM(N16:O17)</f>
        <v>80000</v>
      </c>
      <c r="O18" s="216"/>
      <c r="P18" s="215">
        <f t="shared" ref="P18" si="8">SUM(P16:Q17)</f>
        <v>80000</v>
      </c>
      <c r="Q18" s="216"/>
      <c r="R18" s="215">
        <f t="shared" ref="R18" si="9">SUM(R16:S17)</f>
        <v>0</v>
      </c>
      <c r="S18" s="216"/>
      <c r="T18" s="215">
        <f t="shared" ref="T18" si="10">SUM(T16:U17)</f>
        <v>90000</v>
      </c>
      <c r="U18" s="216"/>
      <c r="V18" s="393">
        <f t="shared" si="7"/>
        <v>10000</v>
      </c>
      <c r="W18" s="191"/>
      <c r="X18" s="394">
        <f t="shared" si="4"/>
        <v>0.11</v>
      </c>
      <c r="Y18" s="207"/>
      <c r="Z18" s="208" t="s">
        <v>9</v>
      </c>
      <c r="AA18" s="209"/>
      <c r="AB18" s="209"/>
      <c r="AC18" s="209"/>
      <c r="AD18" s="210"/>
    </row>
    <row r="19" spans="4:30" ht="14.25" thickBot="1" x14ac:dyDescent="0.2">
      <c r="D19" s="3">
        <v>5</v>
      </c>
      <c r="E19" s="212" t="s">
        <v>235</v>
      </c>
      <c r="F19" s="213"/>
      <c r="G19" s="213"/>
      <c r="H19" s="213"/>
      <c r="I19" s="79">
        <v>2</v>
      </c>
      <c r="J19" s="378" t="str">
        <f>IF(I19=1,"借",IF(I19=2,"貸",""))</f>
        <v>貸</v>
      </c>
      <c r="K19" s="79"/>
      <c r="L19" s="79">
        <v>1</v>
      </c>
      <c r="M19" s="378" t="str">
        <f>IF(L19=1,"変",IF(L19=2,"固",""))</f>
        <v>変</v>
      </c>
      <c r="N19" s="189">
        <v>20000</v>
      </c>
      <c r="O19" s="190"/>
      <c r="P19" s="393">
        <f>IF(AND($I19=1,$L19=1),$N19,IF(AND($I19=2,$L19=1),-$N19,0))</f>
        <v>-20000</v>
      </c>
      <c r="Q19" s="191"/>
      <c r="R19" s="393">
        <f>IF(AND($I19=1,$L19=2),N19,IF(AND($I19=2,$L19=2),-N19,0))</f>
        <v>0</v>
      </c>
      <c r="S19" s="191"/>
      <c r="T19" s="211">
        <v>15000</v>
      </c>
      <c r="U19" s="211"/>
      <c r="V19" s="393">
        <f>IF(I19=1,T19-N19,IF(I19=2,N19-T19,""))</f>
        <v>5000</v>
      </c>
      <c r="W19" s="191"/>
      <c r="X19" s="394">
        <f t="shared" si="4"/>
        <v>0.33</v>
      </c>
      <c r="Y19" s="207"/>
      <c r="Z19" s="208" t="s">
        <v>9</v>
      </c>
      <c r="AA19" s="209"/>
      <c r="AB19" s="209"/>
      <c r="AC19" s="209"/>
      <c r="AD19" s="210"/>
    </row>
    <row r="20" spans="4:30" ht="14.25" thickBot="1" x14ac:dyDescent="0.2">
      <c r="D20" s="3">
        <v>6</v>
      </c>
      <c r="E20" s="212" t="s">
        <v>236</v>
      </c>
      <c r="F20" s="213"/>
      <c r="G20" s="213"/>
      <c r="H20" s="213"/>
      <c r="I20" s="79">
        <v>1</v>
      </c>
      <c r="J20" s="378" t="str">
        <f>IF(I20=1,"借",IF(I20=2,"貸",""))</f>
        <v>借</v>
      </c>
      <c r="K20" s="79"/>
      <c r="L20" s="79"/>
      <c r="M20" s="378" t="str">
        <f>IF(L20=1,"変",IF(L20=2,"固",""))</f>
        <v/>
      </c>
      <c r="N20" s="215">
        <f>+N18-N19</f>
        <v>60000</v>
      </c>
      <c r="O20" s="216"/>
      <c r="P20" s="215">
        <f>SUM(P18:Q19)</f>
        <v>60000</v>
      </c>
      <c r="Q20" s="216"/>
      <c r="R20" s="215">
        <f>SUM(R18:S19)</f>
        <v>0</v>
      </c>
      <c r="S20" s="216"/>
      <c r="T20" s="215">
        <f>+T18-T19</f>
        <v>75000</v>
      </c>
      <c r="U20" s="216"/>
      <c r="V20" s="393">
        <f>IF(I20=1,T20-N20,IF(I20=2,N20-T20,""))</f>
        <v>15000</v>
      </c>
      <c r="W20" s="191"/>
      <c r="X20" s="394">
        <f t="shared" si="4"/>
        <v>0.2</v>
      </c>
      <c r="Y20" s="207"/>
      <c r="Z20" s="208" t="s">
        <v>9</v>
      </c>
      <c r="AA20" s="209"/>
      <c r="AB20" s="209"/>
      <c r="AC20" s="209"/>
      <c r="AD20" s="210"/>
    </row>
    <row r="21" spans="4:30" ht="14.25" thickBot="1" x14ac:dyDescent="0.2">
      <c r="D21" s="3">
        <v>7</v>
      </c>
      <c r="E21" s="153" t="s">
        <v>237</v>
      </c>
      <c r="F21" s="192"/>
      <c r="G21" s="192"/>
      <c r="H21" s="214"/>
      <c r="I21" s="79">
        <v>2</v>
      </c>
      <c r="J21" s="378" t="str">
        <f>IF(I21=1,"借",IF(I21=2,"貸",""))</f>
        <v>貸</v>
      </c>
      <c r="K21" s="79"/>
      <c r="L21" s="79"/>
      <c r="M21" s="378" t="str">
        <f>IF(L21=1,"変",IF(L21=2,"固",""))</f>
        <v/>
      </c>
      <c r="N21" s="217">
        <f>+N11-N20</f>
        <v>40000</v>
      </c>
      <c r="O21" s="218"/>
      <c r="P21" s="2"/>
      <c r="Q21" s="2"/>
      <c r="R21" s="2"/>
      <c r="S21" s="2"/>
      <c r="T21" s="215">
        <f>+T11-T20</f>
        <v>90000</v>
      </c>
      <c r="U21" s="216"/>
      <c r="V21" s="393">
        <f>IF(I21=1,T21-N21,IF(I21=2,N21-T21,""))</f>
        <v>-50000</v>
      </c>
      <c r="W21" s="191"/>
      <c r="X21" s="394">
        <f t="shared" si="4"/>
        <v>-0.56000000000000005</v>
      </c>
      <c r="Y21" s="207"/>
      <c r="Z21" s="208" t="s">
        <v>9</v>
      </c>
      <c r="AA21" s="209"/>
      <c r="AB21" s="209"/>
      <c r="AC21" s="209"/>
      <c r="AD21" s="210"/>
    </row>
    <row r="22" spans="4:30" ht="14.25" thickBot="1" x14ac:dyDescent="0.2">
      <c r="D22" s="3">
        <v>8</v>
      </c>
      <c r="E22" s="153" t="s">
        <v>238</v>
      </c>
      <c r="F22" s="192"/>
      <c r="G22" s="192"/>
      <c r="H22" s="154"/>
      <c r="I22" s="2"/>
      <c r="J22" s="2"/>
      <c r="K22" s="2"/>
      <c r="L22" s="2"/>
      <c r="M22" s="2"/>
      <c r="N22" s="219">
        <f>IF(OR(N$11="",N$11=0),"",ROUND(N21/N$11,2))</f>
        <v>0.4</v>
      </c>
      <c r="O22" s="220"/>
      <c r="P22" s="2"/>
      <c r="Q22" s="2"/>
      <c r="R22" s="2"/>
      <c r="S22" s="2"/>
      <c r="T22" s="219">
        <f>IF(OR(T$11="",T$11=0),"",ROUND(T21/T$11,2))</f>
        <v>0.55000000000000004</v>
      </c>
      <c r="U22" s="220"/>
      <c r="V22" s="2"/>
      <c r="W22" s="2"/>
      <c r="X22" s="219">
        <f>-T22+N22</f>
        <v>-0.15000000000000002</v>
      </c>
      <c r="Y22" s="220"/>
      <c r="Z22" s="208" t="s">
        <v>9</v>
      </c>
      <c r="AA22" s="209"/>
      <c r="AB22" s="209"/>
      <c r="AC22" s="209"/>
      <c r="AD22" s="210"/>
    </row>
    <row r="23" spans="4:30" ht="14.25" thickBot="1" x14ac:dyDescent="0.2">
      <c r="D23" s="77" t="s">
        <v>239</v>
      </c>
    </row>
    <row r="24" spans="4:30" ht="14.25" thickBot="1" x14ac:dyDescent="0.2">
      <c r="D24" s="3">
        <v>9</v>
      </c>
      <c r="E24" s="212" t="s">
        <v>240</v>
      </c>
      <c r="F24" s="213"/>
      <c r="G24" s="213"/>
      <c r="H24" s="213"/>
      <c r="I24" s="79">
        <v>1</v>
      </c>
      <c r="J24" s="378" t="str">
        <f t="shared" ref="J24:J44" si="11">IF(I24=1,"借",IF(I24=2,"貸",""))</f>
        <v>借</v>
      </c>
      <c r="K24" s="79"/>
      <c r="L24" s="79">
        <v>2</v>
      </c>
      <c r="M24" s="378" t="str">
        <f t="shared" ref="M24:M44" si="12">IF(L24=1,"変",IF(L24=2,"固",""))</f>
        <v>固</v>
      </c>
      <c r="N24" s="189">
        <v>12000</v>
      </c>
      <c r="O24" s="190"/>
      <c r="P24" s="393" t="str">
        <f t="shared" ref="P24:P44" si="13">IF(AND($I24=1,$L24=1),$N24,IF(AND($I24=2,$L24=1),-$N24,""))</f>
        <v/>
      </c>
      <c r="Q24" s="191"/>
      <c r="R24" s="393">
        <f t="shared" ref="R24:R37" si="14">IF(AND($I24=1,$L24=2),N24,IF(AND($I24=2,$L24=2),-N24,""))</f>
        <v>12000</v>
      </c>
      <c r="S24" s="191"/>
      <c r="T24" s="211">
        <v>12000</v>
      </c>
      <c r="U24" s="211"/>
      <c r="V24" s="393">
        <f t="shared" ref="V24:V38" si="15">IF(I24=1,T24-N24,IF(I24=2,N24-T24,""))</f>
        <v>0</v>
      </c>
      <c r="W24" s="191"/>
      <c r="X24" s="394">
        <f t="shared" ref="X24:X34" si="16">IF(OR(T24="",T24=0),"",ROUND(V24/T24,2))</f>
        <v>0</v>
      </c>
      <c r="Y24" s="207"/>
      <c r="Z24" s="208" t="s">
        <v>9</v>
      </c>
      <c r="AA24" s="209"/>
      <c r="AB24" s="209"/>
      <c r="AC24" s="209"/>
      <c r="AD24" s="210"/>
    </row>
    <row r="25" spans="4:30" ht="14.25" thickBot="1" x14ac:dyDescent="0.2">
      <c r="D25" s="3">
        <v>10</v>
      </c>
      <c r="E25" s="212" t="s">
        <v>241</v>
      </c>
      <c r="F25" s="213"/>
      <c r="G25" s="213"/>
      <c r="H25" s="213"/>
      <c r="I25" s="79">
        <v>1</v>
      </c>
      <c r="J25" s="378" t="str">
        <f t="shared" si="11"/>
        <v>借</v>
      </c>
      <c r="K25" s="79"/>
      <c r="L25" s="79">
        <v>2</v>
      </c>
      <c r="M25" s="378" t="str">
        <f t="shared" si="12"/>
        <v>固</v>
      </c>
      <c r="N25" s="189">
        <v>3600</v>
      </c>
      <c r="O25" s="190"/>
      <c r="P25" s="393" t="str">
        <f t="shared" si="13"/>
        <v/>
      </c>
      <c r="Q25" s="191"/>
      <c r="R25" s="393">
        <f t="shared" si="14"/>
        <v>3600</v>
      </c>
      <c r="S25" s="191"/>
      <c r="T25" s="211">
        <v>3600</v>
      </c>
      <c r="U25" s="211"/>
      <c r="V25" s="393">
        <f t="shared" si="15"/>
        <v>0</v>
      </c>
      <c r="W25" s="191"/>
      <c r="X25" s="394">
        <f t="shared" si="16"/>
        <v>0</v>
      </c>
      <c r="Y25" s="207"/>
      <c r="Z25" s="208" t="s">
        <v>9</v>
      </c>
      <c r="AA25" s="209"/>
      <c r="AB25" s="209"/>
      <c r="AC25" s="209"/>
      <c r="AD25" s="210"/>
    </row>
    <row r="26" spans="4:30" ht="14.25" thickBot="1" x14ac:dyDescent="0.2">
      <c r="D26" s="3">
        <v>11</v>
      </c>
      <c r="E26" s="212" t="s">
        <v>242</v>
      </c>
      <c r="F26" s="213"/>
      <c r="G26" s="213"/>
      <c r="H26" s="213"/>
      <c r="I26" s="79">
        <v>1</v>
      </c>
      <c r="J26" s="378" t="str">
        <f t="shared" si="11"/>
        <v>借</v>
      </c>
      <c r="K26" s="79"/>
      <c r="L26" s="79">
        <v>2</v>
      </c>
      <c r="M26" s="378" t="str">
        <f t="shared" si="12"/>
        <v>固</v>
      </c>
      <c r="N26" s="189">
        <v>1625</v>
      </c>
      <c r="O26" s="190"/>
      <c r="P26" s="393" t="str">
        <f t="shared" si="13"/>
        <v/>
      </c>
      <c r="Q26" s="191"/>
      <c r="R26" s="393">
        <f t="shared" si="14"/>
        <v>1625</v>
      </c>
      <c r="S26" s="191"/>
      <c r="T26" s="211">
        <v>1625</v>
      </c>
      <c r="U26" s="211"/>
      <c r="V26" s="393">
        <f t="shared" si="15"/>
        <v>0</v>
      </c>
      <c r="W26" s="191"/>
      <c r="X26" s="394">
        <f t="shared" si="16"/>
        <v>0</v>
      </c>
      <c r="Y26" s="207"/>
      <c r="Z26" s="208" t="s">
        <v>9</v>
      </c>
      <c r="AA26" s="209"/>
      <c r="AB26" s="209"/>
      <c r="AC26" s="209"/>
      <c r="AD26" s="210"/>
    </row>
    <row r="27" spans="4:30" ht="14.25" thickBot="1" x14ac:dyDescent="0.2">
      <c r="D27" s="3">
        <v>12</v>
      </c>
      <c r="E27" s="212" t="s">
        <v>243</v>
      </c>
      <c r="F27" s="213"/>
      <c r="G27" s="213"/>
      <c r="H27" s="213"/>
      <c r="I27" s="79">
        <v>1</v>
      </c>
      <c r="J27" s="378" t="str">
        <f t="shared" si="11"/>
        <v>借</v>
      </c>
      <c r="K27" s="79" t="s">
        <v>19</v>
      </c>
      <c r="L27" s="79">
        <v>1</v>
      </c>
      <c r="M27" s="378" t="str">
        <f t="shared" si="12"/>
        <v>変</v>
      </c>
      <c r="N27" s="189">
        <v>1000</v>
      </c>
      <c r="O27" s="190"/>
      <c r="P27" s="393">
        <f t="shared" si="13"/>
        <v>1000</v>
      </c>
      <c r="Q27" s="191"/>
      <c r="R27" s="393" t="str">
        <f t="shared" si="14"/>
        <v/>
      </c>
      <c r="S27" s="191"/>
      <c r="T27" s="211">
        <v>3000</v>
      </c>
      <c r="U27" s="211"/>
      <c r="V27" s="393">
        <f t="shared" si="15"/>
        <v>2000</v>
      </c>
      <c r="W27" s="191"/>
      <c r="X27" s="394">
        <f t="shared" si="16"/>
        <v>0.67</v>
      </c>
      <c r="Y27" s="207"/>
      <c r="Z27" s="208" t="s">
        <v>9</v>
      </c>
      <c r="AA27" s="209"/>
      <c r="AB27" s="209"/>
      <c r="AC27" s="209"/>
      <c r="AD27" s="210"/>
    </row>
    <row r="28" spans="4:30" ht="14.25" thickBot="1" x14ac:dyDescent="0.2">
      <c r="D28" s="3">
        <v>13</v>
      </c>
      <c r="E28" s="212" t="s">
        <v>244</v>
      </c>
      <c r="F28" s="213"/>
      <c r="G28" s="213"/>
      <c r="H28" s="213"/>
      <c r="I28" s="79">
        <v>1</v>
      </c>
      <c r="J28" s="378" t="str">
        <f t="shared" si="11"/>
        <v>借</v>
      </c>
      <c r="K28" s="79" t="s">
        <v>19</v>
      </c>
      <c r="L28" s="79">
        <v>2</v>
      </c>
      <c r="M28" s="378" t="str">
        <f t="shared" si="12"/>
        <v>固</v>
      </c>
      <c r="N28" s="189">
        <v>1200</v>
      </c>
      <c r="O28" s="190"/>
      <c r="P28" s="393" t="str">
        <f t="shared" si="13"/>
        <v/>
      </c>
      <c r="Q28" s="191"/>
      <c r="R28" s="393">
        <f t="shared" si="14"/>
        <v>1200</v>
      </c>
      <c r="S28" s="191"/>
      <c r="T28" s="211">
        <v>2000</v>
      </c>
      <c r="U28" s="211"/>
      <c r="V28" s="393">
        <f t="shared" si="15"/>
        <v>800</v>
      </c>
      <c r="W28" s="191"/>
      <c r="X28" s="394">
        <f t="shared" si="16"/>
        <v>0.4</v>
      </c>
      <c r="Y28" s="207"/>
      <c r="Z28" s="208" t="s">
        <v>9</v>
      </c>
      <c r="AA28" s="209"/>
      <c r="AB28" s="209"/>
      <c r="AC28" s="209"/>
      <c r="AD28" s="210"/>
    </row>
    <row r="29" spans="4:30" ht="14.25" thickBot="1" x14ac:dyDescent="0.2">
      <c r="D29" s="3">
        <v>14</v>
      </c>
      <c r="E29" s="212" t="s">
        <v>245</v>
      </c>
      <c r="F29" s="213"/>
      <c r="G29" s="213"/>
      <c r="H29" s="213"/>
      <c r="I29" s="79">
        <v>1</v>
      </c>
      <c r="J29" s="378" t="str">
        <f t="shared" si="11"/>
        <v>借</v>
      </c>
      <c r="K29" s="79" t="s">
        <v>19</v>
      </c>
      <c r="L29" s="79">
        <v>2</v>
      </c>
      <c r="M29" s="378" t="str">
        <f t="shared" si="12"/>
        <v>固</v>
      </c>
      <c r="N29" s="189">
        <v>1600</v>
      </c>
      <c r="O29" s="190"/>
      <c r="P29" s="393" t="str">
        <f t="shared" si="13"/>
        <v/>
      </c>
      <c r="Q29" s="191"/>
      <c r="R29" s="393">
        <f t="shared" si="14"/>
        <v>1600</v>
      </c>
      <c r="S29" s="191"/>
      <c r="T29" s="211">
        <v>1650</v>
      </c>
      <c r="U29" s="211"/>
      <c r="V29" s="393">
        <f t="shared" si="15"/>
        <v>50</v>
      </c>
      <c r="W29" s="191"/>
      <c r="X29" s="394">
        <f t="shared" si="16"/>
        <v>0.03</v>
      </c>
      <c r="Y29" s="207"/>
      <c r="Z29" s="208" t="s">
        <v>9</v>
      </c>
      <c r="AA29" s="209"/>
      <c r="AB29" s="209"/>
      <c r="AC29" s="209"/>
      <c r="AD29" s="210"/>
    </row>
    <row r="30" spans="4:30" ht="14.25" thickBot="1" x14ac:dyDescent="0.2">
      <c r="D30" s="3">
        <v>15</v>
      </c>
      <c r="E30" s="212" t="s">
        <v>246</v>
      </c>
      <c r="F30" s="213"/>
      <c r="G30" s="213"/>
      <c r="H30" s="213"/>
      <c r="I30" s="79">
        <v>1</v>
      </c>
      <c r="J30" s="378" t="str">
        <f t="shared" si="11"/>
        <v>借</v>
      </c>
      <c r="K30" s="79" t="s">
        <v>19</v>
      </c>
      <c r="L30" s="79">
        <v>2</v>
      </c>
      <c r="M30" s="378" t="str">
        <f t="shared" si="12"/>
        <v>固</v>
      </c>
      <c r="N30" s="189">
        <v>960</v>
      </c>
      <c r="O30" s="190"/>
      <c r="P30" s="393" t="str">
        <f t="shared" si="13"/>
        <v/>
      </c>
      <c r="Q30" s="191"/>
      <c r="R30" s="393">
        <f t="shared" si="14"/>
        <v>960</v>
      </c>
      <c r="S30" s="191"/>
      <c r="T30" s="211">
        <v>980</v>
      </c>
      <c r="U30" s="211"/>
      <c r="V30" s="393">
        <f t="shared" si="15"/>
        <v>20</v>
      </c>
      <c r="W30" s="191"/>
      <c r="X30" s="394">
        <f t="shared" si="16"/>
        <v>0.02</v>
      </c>
      <c r="Y30" s="207"/>
      <c r="Z30" s="208" t="s">
        <v>9</v>
      </c>
      <c r="AA30" s="209"/>
      <c r="AB30" s="209"/>
      <c r="AC30" s="209"/>
      <c r="AD30" s="210"/>
    </row>
    <row r="31" spans="4:30" ht="14.25" thickBot="1" x14ac:dyDescent="0.2">
      <c r="D31" s="3">
        <v>16</v>
      </c>
      <c r="E31" s="212" t="s">
        <v>247</v>
      </c>
      <c r="F31" s="213"/>
      <c r="G31" s="213"/>
      <c r="H31" s="213"/>
      <c r="I31" s="79">
        <v>1</v>
      </c>
      <c r="J31" s="378" t="str">
        <f t="shared" si="11"/>
        <v>借</v>
      </c>
      <c r="K31" s="79" t="s">
        <v>19</v>
      </c>
      <c r="L31" s="79">
        <v>2</v>
      </c>
      <c r="M31" s="378" t="str">
        <f t="shared" si="12"/>
        <v>固</v>
      </c>
      <c r="N31" s="189">
        <v>840</v>
      </c>
      <c r="O31" s="190"/>
      <c r="P31" s="393" t="str">
        <f t="shared" si="13"/>
        <v/>
      </c>
      <c r="Q31" s="191"/>
      <c r="R31" s="393">
        <f t="shared" si="14"/>
        <v>840</v>
      </c>
      <c r="S31" s="191"/>
      <c r="T31" s="211">
        <v>860</v>
      </c>
      <c r="U31" s="211"/>
      <c r="V31" s="393">
        <f t="shared" si="15"/>
        <v>20</v>
      </c>
      <c r="W31" s="191"/>
      <c r="X31" s="394">
        <f t="shared" si="16"/>
        <v>0.02</v>
      </c>
      <c r="Y31" s="207"/>
      <c r="Z31" s="208" t="s">
        <v>9</v>
      </c>
      <c r="AA31" s="209"/>
      <c r="AB31" s="209"/>
      <c r="AC31" s="209"/>
      <c r="AD31" s="210"/>
    </row>
    <row r="32" spans="4:30" ht="14.25" thickBot="1" x14ac:dyDescent="0.2">
      <c r="D32" s="3">
        <v>17</v>
      </c>
      <c r="E32" s="212" t="s">
        <v>248</v>
      </c>
      <c r="F32" s="213"/>
      <c r="G32" s="213"/>
      <c r="H32" s="213"/>
      <c r="I32" s="79">
        <v>1</v>
      </c>
      <c r="J32" s="378" t="str">
        <f t="shared" si="11"/>
        <v>借</v>
      </c>
      <c r="K32" s="79" t="s">
        <v>19</v>
      </c>
      <c r="L32" s="79">
        <v>2</v>
      </c>
      <c r="M32" s="378" t="str">
        <f t="shared" si="12"/>
        <v>固</v>
      </c>
      <c r="N32" s="189">
        <v>1200</v>
      </c>
      <c r="O32" s="190"/>
      <c r="P32" s="393" t="str">
        <f t="shared" si="13"/>
        <v/>
      </c>
      <c r="Q32" s="191"/>
      <c r="R32" s="393">
        <f t="shared" si="14"/>
        <v>1200</v>
      </c>
      <c r="S32" s="191"/>
      <c r="T32" s="211">
        <v>1250</v>
      </c>
      <c r="U32" s="211"/>
      <c r="V32" s="393">
        <f t="shared" si="15"/>
        <v>50</v>
      </c>
      <c r="W32" s="191"/>
      <c r="X32" s="394">
        <f t="shared" si="16"/>
        <v>0.04</v>
      </c>
      <c r="Y32" s="207"/>
      <c r="Z32" s="208" t="s">
        <v>9</v>
      </c>
      <c r="AA32" s="209"/>
      <c r="AB32" s="209"/>
      <c r="AC32" s="209"/>
      <c r="AD32" s="210"/>
    </row>
    <row r="33" spans="4:30" ht="14.25" thickBot="1" x14ac:dyDescent="0.2">
      <c r="D33" s="3">
        <v>18</v>
      </c>
      <c r="E33" s="212" t="s">
        <v>249</v>
      </c>
      <c r="F33" s="213"/>
      <c r="G33" s="213"/>
      <c r="H33" s="213"/>
      <c r="I33" s="79">
        <v>1</v>
      </c>
      <c r="J33" s="378" t="str">
        <f t="shared" si="11"/>
        <v>借</v>
      </c>
      <c r="K33" s="79" t="s">
        <v>19</v>
      </c>
      <c r="L33" s="79">
        <v>2</v>
      </c>
      <c r="M33" s="378" t="str">
        <f t="shared" si="12"/>
        <v>固</v>
      </c>
      <c r="N33" s="189">
        <v>4800</v>
      </c>
      <c r="O33" s="190"/>
      <c r="P33" s="393" t="str">
        <f t="shared" si="13"/>
        <v/>
      </c>
      <c r="Q33" s="191"/>
      <c r="R33" s="393">
        <f t="shared" si="14"/>
        <v>4800</v>
      </c>
      <c r="S33" s="191"/>
      <c r="T33" s="211">
        <v>4800</v>
      </c>
      <c r="U33" s="211"/>
      <c r="V33" s="393">
        <f t="shared" si="15"/>
        <v>0</v>
      </c>
      <c r="W33" s="191"/>
      <c r="X33" s="394">
        <f t="shared" si="16"/>
        <v>0</v>
      </c>
      <c r="Y33" s="207"/>
      <c r="Z33" s="208" t="s">
        <v>9</v>
      </c>
      <c r="AA33" s="209"/>
      <c r="AB33" s="209"/>
      <c r="AC33" s="209"/>
      <c r="AD33" s="210"/>
    </row>
    <row r="34" spans="4:30" ht="14.25" thickBot="1" x14ac:dyDescent="0.2">
      <c r="D34" s="3">
        <v>19</v>
      </c>
      <c r="E34" s="212" t="s">
        <v>250</v>
      </c>
      <c r="F34" s="213"/>
      <c r="G34" s="213"/>
      <c r="H34" s="213"/>
      <c r="I34" s="79">
        <v>1</v>
      </c>
      <c r="J34" s="378" t="str">
        <f t="shared" si="11"/>
        <v>借</v>
      </c>
      <c r="K34" s="79" t="s">
        <v>19</v>
      </c>
      <c r="L34" s="79">
        <v>2</v>
      </c>
      <c r="M34" s="378" t="str">
        <f t="shared" si="12"/>
        <v>固</v>
      </c>
      <c r="N34" s="189">
        <v>5200</v>
      </c>
      <c r="O34" s="190"/>
      <c r="P34" s="393" t="str">
        <f t="shared" si="13"/>
        <v/>
      </c>
      <c r="Q34" s="191"/>
      <c r="R34" s="393">
        <f t="shared" si="14"/>
        <v>5200</v>
      </c>
      <c r="S34" s="191"/>
      <c r="T34" s="211">
        <v>3000</v>
      </c>
      <c r="U34" s="211"/>
      <c r="V34" s="393">
        <f t="shared" si="15"/>
        <v>-2200</v>
      </c>
      <c r="W34" s="191"/>
      <c r="X34" s="394">
        <f t="shared" si="16"/>
        <v>-0.73</v>
      </c>
      <c r="Y34" s="207"/>
      <c r="Z34" s="208" t="s">
        <v>9</v>
      </c>
      <c r="AA34" s="209"/>
      <c r="AB34" s="209"/>
      <c r="AC34" s="209"/>
      <c r="AD34" s="210"/>
    </row>
    <row r="35" spans="4:30" ht="14.25" thickBot="1" x14ac:dyDescent="0.2">
      <c r="D35" s="3">
        <v>20</v>
      </c>
      <c r="E35" s="212" t="s">
        <v>251</v>
      </c>
      <c r="F35" s="213"/>
      <c r="G35" s="213"/>
      <c r="H35" s="213"/>
      <c r="I35" s="79">
        <v>1</v>
      </c>
      <c r="J35" s="378" t="str">
        <f t="shared" si="11"/>
        <v>借</v>
      </c>
      <c r="K35" s="79"/>
      <c r="L35" s="79">
        <v>2</v>
      </c>
      <c r="M35" s="378" t="str">
        <f t="shared" si="12"/>
        <v>固</v>
      </c>
      <c r="N35" s="189">
        <v>1200</v>
      </c>
      <c r="O35" s="190"/>
      <c r="P35" s="393" t="str">
        <f t="shared" si="13"/>
        <v/>
      </c>
      <c r="Q35" s="191"/>
      <c r="R35" s="393">
        <f t="shared" si="14"/>
        <v>1200</v>
      </c>
      <c r="S35" s="191"/>
      <c r="T35" s="211">
        <v>2200</v>
      </c>
      <c r="U35" s="211"/>
      <c r="V35" s="393">
        <f t="shared" si="15"/>
        <v>1000</v>
      </c>
      <c r="W35" s="191"/>
      <c r="X35" s="394">
        <f>IF(OR(T35="",T35=0),"",ROUND(V35/T35,2))</f>
        <v>0.45</v>
      </c>
      <c r="Y35" s="207"/>
      <c r="Z35" s="208" t="s">
        <v>9</v>
      </c>
      <c r="AA35" s="209"/>
      <c r="AB35" s="209"/>
      <c r="AC35" s="209"/>
      <c r="AD35" s="210"/>
    </row>
    <row r="36" spans="4:30" ht="14.25" thickBot="1" x14ac:dyDescent="0.2">
      <c r="D36" s="3">
        <v>21</v>
      </c>
      <c r="E36" s="212" t="s">
        <v>252</v>
      </c>
      <c r="F36" s="213"/>
      <c r="G36" s="213"/>
      <c r="H36" s="213"/>
      <c r="I36" s="79">
        <v>1</v>
      </c>
      <c r="J36" s="378" t="str">
        <f t="shared" si="11"/>
        <v>借</v>
      </c>
      <c r="K36" s="79"/>
      <c r="L36" s="79">
        <v>2</v>
      </c>
      <c r="M36" s="378" t="str">
        <f t="shared" si="12"/>
        <v>固</v>
      </c>
      <c r="N36" s="189">
        <v>1695</v>
      </c>
      <c r="O36" s="190"/>
      <c r="P36" s="393" t="str">
        <f t="shared" si="13"/>
        <v/>
      </c>
      <c r="Q36" s="191"/>
      <c r="R36" s="393">
        <f t="shared" si="14"/>
        <v>1695</v>
      </c>
      <c r="S36" s="191"/>
      <c r="T36" s="211">
        <v>1695</v>
      </c>
      <c r="U36" s="211"/>
      <c r="V36" s="393">
        <f t="shared" si="15"/>
        <v>0</v>
      </c>
      <c r="W36" s="191"/>
      <c r="X36" s="394">
        <f t="shared" ref="X36:X39" si="17">IF(OR(T36="",T36=0),"",ROUND(V36/T36,2))</f>
        <v>0</v>
      </c>
      <c r="Y36" s="207"/>
      <c r="Z36" s="208" t="s">
        <v>9</v>
      </c>
      <c r="AA36" s="209"/>
      <c r="AB36" s="209"/>
      <c r="AC36" s="209"/>
      <c r="AD36" s="210"/>
    </row>
    <row r="37" spans="4:30" ht="14.25" thickBot="1" x14ac:dyDescent="0.2">
      <c r="D37" s="3">
        <v>22</v>
      </c>
      <c r="E37" s="212" t="s">
        <v>253</v>
      </c>
      <c r="F37" s="213"/>
      <c r="G37" s="213"/>
      <c r="H37" s="213"/>
      <c r="I37" s="79">
        <v>1</v>
      </c>
      <c r="J37" s="378" t="str">
        <f t="shared" si="11"/>
        <v>借</v>
      </c>
      <c r="K37" s="79" t="s">
        <v>19</v>
      </c>
      <c r="L37" s="79">
        <v>2</v>
      </c>
      <c r="M37" s="378" t="str">
        <f t="shared" si="12"/>
        <v>固</v>
      </c>
      <c r="N37" s="189">
        <v>340</v>
      </c>
      <c r="O37" s="190"/>
      <c r="P37" s="393" t="str">
        <f t="shared" si="13"/>
        <v/>
      </c>
      <c r="Q37" s="191"/>
      <c r="R37" s="393">
        <f t="shared" si="14"/>
        <v>340</v>
      </c>
      <c r="S37" s="191"/>
      <c r="T37" s="211">
        <v>350</v>
      </c>
      <c r="U37" s="211"/>
      <c r="V37" s="393">
        <f t="shared" si="15"/>
        <v>10</v>
      </c>
      <c r="W37" s="191"/>
      <c r="X37" s="394">
        <f t="shared" si="17"/>
        <v>0.03</v>
      </c>
      <c r="Y37" s="207"/>
      <c r="Z37" s="208" t="s">
        <v>9</v>
      </c>
      <c r="AA37" s="209"/>
      <c r="AB37" s="209"/>
      <c r="AC37" s="209"/>
      <c r="AD37" s="210"/>
    </row>
    <row r="38" spans="4:30" ht="14.25" thickBot="1" x14ac:dyDescent="0.2">
      <c r="D38" s="3">
        <v>23</v>
      </c>
      <c r="E38" s="212" t="s">
        <v>254</v>
      </c>
      <c r="F38" s="213"/>
      <c r="G38" s="213"/>
      <c r="H38" s="213"/>
      <c r="I38" s="79">
        <v>1</v>
      </c>
      <c r="J38" s="378" t="str">
        <f t="shared" si="11"/>
        <v>借</v>
      </c>
      <c r="K38" s="79"/>
      <c r="L38" s="79"/>
      <c r="M38" s="378" t="str">
        <f t="shared" si="12"/>
        <v/>
      </c>
      <c r="N38" s="215">
        <f>SUM(N24:O37)</f>
        <v>37260</v>
      </c>
      <c r="O38" s="216"/>
      <c r="P38" s="215">
        <f t="shared" ref="P38" si="18">SUM(P24:Q37)</f>
        <v>1000</v>
      </c>
      <c r="Q38" s="216"/>
      <c r="R38" s="215">
        <f t="shared" ref="R38" si="19">SUM(R24:S37)</f>
        <v>36260</v>
      </c>
      <c r="S38" s="216"/>
      <c r="T38" s="215">
        <f t="shared" ref="T38" si="20">SUM(T24:U37)</f>
        <v>39010</v>
      </c>
      <c r="U38" s="216"/>
      <c r="V38" s="393">
        <f t="shared" si="15"/>
        <v>1750</v>
      </c>
      <c r="W38" s="191"/>
      <c r="X38" s="394">
        <f t="shared" si="17"/>
        <v>0.04</v>
      </c>
      <c r="Y38" s="207"/>
      <c r="Z38" s="208" t="s">
        <v>9</v>
      </c>
      <c r="AA38" s="209"/>
      <c r="AB38" s="209"/>
      <c r="AC38" s="209"/>
      <c r="AD38" s="210"/>
    </row>
    <row r="39" spans="4:30" ht="14.25" thickBot="1" x14ac:dyDescent="0.2">
      <c r="D39" s="3">
        <v>24</v>
      </c>
      <c r="E39" s="153" t="s">
        <v>255</v>
      </c>
      <c r="F39" s="192"/>
      <c r="G39" s="192"/>
      <c r="H39" s="214"/>
      <c r="I39" s="79">
        <v>2</v>
      </c>
      <c r="J39" s="378" t="str">
        <f>IF(I39=1,"借",IF(I39=2,"貸",""))</f>
        <v>貸</v>
      </c>
      <c r="K39" s="79"/>
      <c r="L39" s="79"/>
      <c r="M39" s="378" t="str">
        <f>IF(L39=1,"変",IF(L39=2,"固",""))</f>
        <v/>
      </c>
      <c r="N39" s="217">
        <f>+N21-N38</f>
        <v>2740</v>
      </c>
      <c r="O39" s="218"/>
      <c r="P39" s="2"/>
      <c r="Q39" s="2"/>
      <c r="R39" s="2"/>
      <c r="S39" s="2"/>
      <c r="T39" s="217">
        <f>+T21-T38</f>
        <v>50990</v>
      </c>
      <c r="U39" s="218"/>
      <c r="V39" s="393">
        <f>IF(I39=1,T39-N39,IF(I39=2,N39-T39,""))</f>
        <v>-48250</v>
      </c>
      <c r="W39" s="191"/>
      <c r="X39" s="394">
        <f t="shared" si="17"/>
        <v>-0.95</v>
      </c>
      <c r="Y39" s="207"/>
      <c r="Z39" s="208" t="s">
        <v>9</v>
      </c>
      <c r="AA39" s="209"/>
      <c r="AB39" s="209"/>
      <c r="AC39" s="209"/>
      <c r="AD39" s="210"/>
    </row>
    <row r="40" spans="4:30" ht="14.25" thickBot="1" x14ac:dyDescent="0.2">
      <c r="D40" s="3">
        <v>25</v>
      </c>
      <c r="E40" s="153" t="s">
        <v>256</v>
      </c>
      <c r="F40" s="192"/>
      <c r="G40" s="192"/>
      <c r="H40" s="154"/>
      <c r="I40" s="2"/>
      <c r="J40" s="2"/>
      <c r="K40" s="2"/>
      <c r="L40" s="2"/>
      <c r="M40" s="2"/>
      <c r="N40" s="219">
        <f>IF(OR(N$11="",N$11=0),"",ROUND(N39/N$11,2))</f>
        <v>0.03</v>
      </c>
      <c r="O40" s="220"/>
      <c r="P40" s="2"/>
      <c r="Q40" s="2"/>
      <c r="R40" s="2"/>
      <c r="S40" s="2"/>
      <c r="T40" s="219">
        <f>IF(OR(T$11="",T$11=0),"",ROUND(T39/T$11,2))</f>
        <v>0.31</v>
      </c>
      <c r="U40" s="220"/>
      <c r="V40" s="2"/>
      <c r="W40" s="2"/>
      <c r="X40" s="219">
        <f>-T40+N40</f>
        <v>-0.28000000000000003</v>
      </c>
      <c r="Y40" s="220"/>
      <c r="Z40" s="208" t="s">
        <v>9</v>
      </c>
      <c r="AA40" s="209"/>
      <c r="AB40" s="209"/>
      <c r="AC40" s="209"/>
      <c r="AD40" s="210"/>
    </row>
    <row r="41" spans="4:30" ht="14.25" thickBot="1" x14ac:dyDescent="0.2">
      <c r="D41" s="77" t="s">
        <v>257</v>
      </c>
    </row>
    <row r="42" spans="4:30" ht="14.25" thickBot="1" x14ac:dyDescent="0.2">
      <c r="D42" s="3">
        <v>26</v>
      </c>
      <c r="E42" s="212" t="s">
        <v>258</v>
      </c>
      <c r="F42" s="213"/>
      <c r="G42" s="213"/>
      <c r="H42" s="213"/>
      <c r="I42" s="79">
        <v>2</v>
      </c>
      <c r="J42" s="378" t="str">
        <f t="shared" si="11"/>
        <v>貸</v>
      </c>
      <c r="K42" s="79"/>
      <c r="L42" s="79">
        <v>2</v>
      </c>
      <c r="M42" s="378" t="str">
        <f t="shared" si="12"/>
        <v>固</v>
      </c>
      <c r="N42" s="189">
        <v>5</v>
      </c>
      <c r="O42" s="190"/>
      <c r="P42" s="393" t="str">
        <f t="shared" si="13"/>
        <v/>
      </c>
      <c r="Q42" s="191"/>
      <c r="R42" s="393">
        <f t="shared" ref="R42" si="21">IF(AND($I42=1,$L42=2),N42,IF(AND($I42=2,$L42=2),-N42,""))</f>
        <v>-5</v>
      </c>
      <c r="S42" s="191"/>
      <c r="T42" s="211">
        <v>6</v>
      </c>
      <c r="U42" s="211"/>
      <c r="V42" s="393">
        <f t="shared" ref="V42" si="22">IF(I42=1,T42-N42,IF(I42=2,N42-T42,""))</f>
        <v>-1</v>
      </c>
      <c r="W42" s="191"/>
      <c r="X42" s="394">
        <f t="shared" ref="X42" si="23">IF(OR(T42="",T42=0),"",ROUND(V42/T42,2))</f>
        <v>-0.17</v>
      </c>
      <c r="Y42" s="207"/>
      <c r="Z42" s="208" t="s">
        <v>9</v>
      </c>
      <c r="AA42" s="209"/>
      <c r="AB42" s="209"/>
      <c r="AC42" s="209"/>
      <c r="AD42" s="210"/>
    </row>
    <row r="43" spans="4:30" ht="14.25" thickBot="1" x14ac:dyDescent="0.2">
      <c r="D43" s="77" t="s">
        <v>259</v>
      </c>
    </row>
    <row r="44" spans="4:30" ht="14.25" thickBot="1" x14ac:dyDescent="0.2">
      <c r="D44" s="3">
        <v>27</v>
      </c>
      <c r="E44" s="212" t="s">
        <v>260</v>
      </c>
      <c r="F44" s="213"/>
      <c r="G44" s="213"/>
      <c r="H44" s="213"/>
      <c r="I44" s="79">
        <v>1</v>
      </c>
      <c r="J44" s="378" t="str">
        <f t="shared" si="11"/>
        <v>借</v>
      </c>
      <c r="K44" s="79"/>
      <c r="L44" s="79">
        <v>2</v>
      </c>
      <c r="M44" s="378" t="str">
        <f t="shared" si="12"/>
        <v>固</v>
      </c>
      <c r="N44" s="189">
        <v>700</v>
      </c>
      <c r="O44" s="190"/>
      <c r="P44" s="393" t="str">
        <f t="shared" si="13"/>
        <v/>
      </c>
      <c r="Q44" s="191"/>
      <c r="R44" s="393">
        <f t="shared" ref="R44" si="24">IF(AND($I44=1,$L44=2),N44,IF(AND($I44=2,$L44=2),-N44,""))</f>
        <v>700</v>
      </c>
      <c r="S44" s="191"/>
      <c r="T44" s="211">
        <v>300</v>
      </c>
      <c r="U44" s="211"/>
      <c r="V44" s="393">
        <f t="shared" ref="V44" si="25">IF(I44=1,T44-N44,IF(I44=2,N44-T44,""))</f>
        <v>-400</v>
      </c>
      <c r="W44" s="191"/>
      <c r="X44" s="394">
        <f t="shared" ref="X44:X45" si="26">IF(OR(T44="",T44=0),"",ROUND(V44/T44,2))</f>
        <v>-1.33</v>
      </c>
      <c r="Y44" s="207"/>
      <c r="Z44" s="208" t="s">
        <v>9</v>
      </c>
      <c r="AA44" s="209"/>
      <c r="AB44" s="209"/>
      <c r="AC44" s="209"/>
      <c r="AD44" s="210"/>
    </row>
    <row r="45" spans="4:30" ht="14.25" thickBot="1" x14ac:dyDescent="0.2">
      <c r="D45" s="3">
        <v>28</v>
      </c>
      <c r="E45" s="153" t="s">
        <v>261</v>
      </c>
      <c r="F45" s="192"/>
      <c r="G45" s="192"/>
      <c r="H45" s="214"/>
      <c r="I45" s="79">
        <v>2</v>
      </c>
      <c r="J45" s="378" t="str">
        <f>IF(I45=1,"借",IF(I45=2,"貸",""))</f>
        <v>貸</v>
      </c>
      <c r="K45" s="79"/>
      <c r="L45" s="79"/>
      <c r="M45" s="378" t="str">
        <f>IF(L45=1,"変",IF(L45=2,"固",""))</f>
        <v/>
      </c>
      <c r="N45" s="217">
        <f>+N39+N42-N44</f>
        <v>2045</v>
      </c>
      <c r="O45" s="218"/>
      <c r="P45" s="2"/>
      <c r="Q45" s="2"/>
      <c r="R45" s="2"/>
      <c r="S45" s="2"/>
      <c r="T45" s="217">
        <f>+T39+T42-T44</f>
        <v>50696</v>
      </c>
      <c r="U45" s="218"/>
      <c r="V45" s="393">
        <f>IF(I45=1,T45-N45,IF(I45=2,N45-T45,""))</f>
        <v>-48651</v>
      </c>
      <c r="W45" s="191"/>
      <c r="X45" s="394">
        <f t="shared" si="26"/>
        <v>-0.96</v>
      </c>
      <c r="Y45" s="207"/>
      <c r="Z45" s="208" t="s">
        <v>9</v>
      </c>
      <c r="AA45" s="209"/>
      <c r="AB45" s="209"/>
      <c r="AC45" s="209"/>
      <c r="AD45" s="210"/>
    </row>
    <row r="46" spans="4:30" ht="14.25" thickBot="1" x14ac:dyDescent="0.2">
      <c r="D46" s="3">
        <v>29</v>
      </c>
      <c r="E46" s="153" t="s">
        <v>262</v>
      </c>
      <c r="F46" s="192"/>
      <c r="G46" s="192"/>
      <c r="H46" s="154"/>
      <c r="I46" s="2"/>
      <c r="J46" s="2"/>
      <c r="K46" s="2"/>
      <c r="L46" s="2"/>
      <c r="M46" s="2"/>
      <c r="N46" s="219">
        <f>IF(OR(N$11="",N$11=0),"",ROUND(N45/N$11,2))</f>
        <v>0.02</v>
      </c>
      <c r="O46" s="220"/>
      <c r="P46" s="2"/>
      <c r="Q46" s="2"/>
      <c r="R46" s="2"/>
      <c r="S46" s="2"/>
      <c r="T46" s="219">
        <f>IF(OR(T$11="",T$11=0),"",ROUND(T45/T$11,2))</f>
        <v>0.31</v>
      </c>
      <c r="U46" s="220"/>
      <c r="V46" s="2"/>
      <c r="W46" s="2"/>
      <c r="X46" s="219">
        <f>-T46+N46</f>
        <v>-0.28999999999999998</v>
      </c>
      <c r="Y46" s="220"/>
      <c r="Z46" s="208" t="s">
        <v>9</v>
      </c>
      <c r="AA46" s="209"/>
      <c r="AB46" s="209"/>
      <c r="AC46" s="209"/>
      <c r="AD46" s="210"/>
    </row>
    <row r="47" spans="4:30" ht="14.25" thickBot="1" x14ac:dyDescent="0.2">
      <c r="D47" s="77" t="s">
        <v>263</v>
      </c>
    </row>
    <row r="48" spans="4:30" ht="14.25" thickBot="1" x14ac:dyDescent="0.2">
      <c r="D48" s="3">
        <v>30</v>
      </c>
      <c r="E48" s="212" t="s">
        <v>264</v>
      </c>
      <c r="F48" s="213"/>
      <c r="G48" s="213"/>
      <c r="H48" s="213"/>
      <c r="I48" s="79">
        <v>2</v>
      </c>
      <c r="J48" s="378" t="str">
        <f t="shared" ref="J48:J50" si="27">IF(I48=1,"借",IF(I48=2,"貸",""))</f>
        <v>貸</v>
      </c>
      <c r="K48" s="79"/>
      <c r="L48" s="79"/>
      <c r="M48" s="378" t="str">
        <f t="shared" ref="M48:M50" si="28">IF(L48=1,"変",IF(L48=2,"固",""))</f>
        <v/>
      </c>
      <c r="N48" s="189"/>
      <c r="O48" s="190"/>
      <c r="P48" s="393" t="str">
        <f t="shared" ref="P48:P55" si="29">IF(AND($I48=1,$L48=1),$N48,IF(AND($I48=2,$L48=1),-$N48,""))</f>
        <v/>
      </c>
      <c r="Q48" s="191"/>
      <c r="R48" s="393" t="str">
        <f t="shared" ref="R48" si="30">IF(AND($I48=1,$L48=2),N48,IF(AND($I48=2,$L48=2),-N48,""))</f>
        <v/>
      </c>
      <c r="S48" s="191"/>
      <c r="T48" s="211"/>
      <c r="U48" s="211"/>
      <c r="V48" s="393">
        <f t="shared" ref="V48" si="31">IF(I48=1,T48-N48,IF(I48=2,N48-T48,""))</f>
        <v>0</v>
      </c>
      <c r="W48" s="191"/>
      <c r="X48" s="394" t="str">
        <f t="shared" ref="X48" si="32">IF(OR(T48="",T48=0),"",ROUND(V48/T48,2))</f>
        <v/>
      </c>
      <c r="Y48" s="207"/>
      <c r="Z48" s="208" t="s">
        <v>9</v>
      </c>
      <c r="AA48" s="209"/>
      <c r="AB48" s="209"/>
      <c r="AC48" s="209"/>
      <c r="AD48" s="210"/>
    </row>
    <row r="49" spans="4:30" ht="14.25" thickBot="1" x14ac:dyDescent="0.2">
      <c r="D49" s="77" t="s">
        <v>265</v>
      </c>
    </row>
    <row r="50" spans="4:30" ht="14.25" thickBot="1" x14ac:dyDescent="0.2">
      <c r="D50" s="3">
        <v>31</v>
      </c>
      <c r="E50" s="212" t="s">
        <v>266</v>
      </c>
      <c r="F50" s="213"/>
      <c r="G50" s="213"/>
      <c r="H50" s="213"/>
      <c r="I50" s="79">
        <v>1</v>
      </c>
      <c r="J50" s="378" t="str">
        <f t="shared" si="27"/>
        <v>借</v>
      </c>
      <c r="K50" s="79"/>
      <c r="L50" s="79"/>
      <c r="M50" s="378" t="str">
        <f t="shared" si="28"/>
        <v/>
      </c>
      <c r="N50" s="189"/>
      <c r="O50" s="190"/>
      <c r="P50" s="393" t="str">
        <f t="shared" si="29"/>
        <v/>
      </c>
      <c r="Q50" s="191"/>
      <c r="R50" s="393" t="str">
        <f t="shared" ref="R50" si="33">IF(AND($I50=1,$L50=2),N50,IF(AND($I50=2,$L50=2),-N50,""))</f>
        <v/>
      </c>
      <c r="S50" s="191"/>
      <c r="T50" s="211"/>
      <c r="U50" s="211"/>
      <c r="V50" s="393">
        <f t="shared" ref="V50" si="34">IF(I50=1,T50-N50,IF(I50=2,N50-T50,""))</f>
        <v>0</v>
      </c>
      <c r="W50" s="191"/>
      <c r="X50" s="394" t="str">
        <f t="shared" ref="X50:X51" si="35">IF(OR(T50="",T50=0),"",ROUND(V50/T50,2))</f>
        <v/>
      </c>
      <c r="Y50" s="207"/>
      <c r="Z50" s="208" t="s">
        <v>9</v>
      </c>
      <c r="AA50" s="209"/>
      <c r="AB50" s="209"/>
      <c r="AC50" s="209"/>
      <c r="AD50" s="210"/>
    </row>
    <row r="51" spans="4:30" ht="14.25" thickBot="1" x14ac:dyDescent="0.2">
      <c r="D51" s="3">
        <v>32</v>
      </c>
      <c r="E51" s="153" t="s">
        <v>267</v>
      </c>
      <c r="F51" s="192"/>
      <c r="G51" s="192"/>
      <c r="H51" s="214"/>
      <c r="I51" s="79">
        <v>2</v>
      </c>
      <c r="J51" s="378" t="str">
        <f>IF(I51=1,"借",IF(I51=2,"貸",""))</f>
        <v>貸</v>
      </c>
      <c r="K51" s="79"/>
      <c r="L51" s="79"/>
      <c r="M51" s="378" t="str">
        <f>IF(L51=1,"変",IF(L51=2,"固",""))</f>
        <v/>
      </c>
      <c r="N51" s="217">
        <f>+N45+N48-N50</f>
        <v>2045</v>
      </c>
      <c r="O51" s="218"/>
      <c r="P51" s="2"/>
      <c r="Q51" s="2"/>
      <c r="R51" s="2"/>
      <c r="S51" s="2"/>
      <c r="T51" s="217">
        <f>+T45+T48-T50</f>
        <v>50696</v>
      </c>
      <c r="U51" s="218"/>
      <c r="V51" s="393">
        <f>IF(I51=1,T51-N51,IF(I51=2,N51-T51,""))</f>
        <v>-48651</v>
      </c>
      <c r="W51" s="191"/>
      <c r="X51" s="394">
        <f t="shared" si="35"/>
        <v>-0.96</v>
      </c>
      <c r="Y51" s="207"/>
      <c r="Z51" s="208" t="s">
        <v>9</v>
      </c>
      <c r="AA51" s="209"/>
      <c r="AB51" s="209"/>
      <c r="AC51" s="209"/>
      <c r="AD51" s="210"/>
    </row>
    <row r="52" spans="4:30" ht="14.25" thickBot="1" x14ac:dyDescent="0.2">
      <c r="D52" s="3">
        <v>33</v>
      </c>
      <c r="E52" s="153" t="s">
        <v>268</v>
      </c>
      <c r="F52" s="192"/>
      <c r="G52" s="192"/>
      <c r="H52" s="154"/>
      <c r="I52" s="2"/>
      <c r="J52" s="2"/>
      <c r="K52" s="2"/>
      <c r="L52" s="2"/>
      <c r="M52" s="2"/>
      <c r="N52" s="219">
        <f>IF(OR(N$11="",N$11=0),"",ROUND(N51/N$11,2))</f>
        <v>0.02</v>
      </c>
      <c r="O52" s="220"/>
      <c r="P52" s="2"/>
      <c r="Q52" s="2"/>
      <c r="R52" s="2"/>
      <c r="S52" s="2"/>
      <c r="T52" s="219">
        <f>IF(OR(T$11="",T$11=0),"",ROUND(T51/T$11,2))</f>
        <v>0.31</v>
      </c>
      <c r="U52" s="220"/>
      <c r="V52" s="2"/>
      <c r="W52" s="2"/>
      <c r="X52" s="219">
        <f>-T52+N52</f>
        <v>-0.28999999999999998</v>
      </c>
      <c r="Y52" s="220"/>
      <c r="Z52" s="208" t="s">
        <v>9</v>
      </c>
      <c r="AA52" s="209"/>
      <c r="AB52" s="209"/>
      <c r="AC52" s="209"/>
      <c r="AD52" s="210"/>
    </row>
    <row r="53" spans="4:30" ht="14.25" thickBot="1" x14ac:dyDescent="0.2">
      <c r="D53" s="77" t="s">
        <v>269</v>
      </c>
    </row>
    <row r="54" spans="4:30" ht="14.25" thickBot="1" x14ac:dyDescent="0.2">
      <c r="D54" s="3">
        <v>32</v>
      </c>
      <c r="E54" s="212" t="s">
        <v>270</v>
      </c>
      <c r="F54" s="213"/>
      <c r="G54" s="213"/>
      <c r="H54" s="213"/>
      <c r="I54" s="79">
        <v>1</v>
      </c>
      <c r="J54" s="378" t="str">
        <f t="shared" ref="J54:J55" si="36">IF(I54=1,"借",IF(I54=2,"貸",""))</f>
        <v>借</v>
      </c>
      <c r="K54" s="79"/>
      <c r="L54" s="79"/>
      <c r="M54" s="378" t="str">
        <f t="shared" ref="M54:M55" si="37">IF(L54=1,"変",IF(L54=2,"固",""))</f>
        <v/>
      </c>
      <c r="N54" s="189">
        <v>1415</v>
      </c>
      <c r="O54" s="190"/>
      <c r="P54" s="393" t="str">
        <f t="shared" si="29"/>
        <v/>
      </c>
      <c r="Q54" s="191"/>
      <c r="R54" s="393" t="str">
        <f t="shared" ref="R54:R55" si="38">IF(AND($I54=1,$L54=2),N54,IF(AND($I54=2,$L54=2),-N54,""))</f>
        <v/>
      </c>
      <c r="S54" s="191"/>
      <c r="T54" s="211">
        <v>20278</v>
      </c>
      <c r="U54" s="211"/>
      <c r="V54" s="393">
        <f t="shared" ref="V54:V55" si="39">IF(I54=1,T54-N54,IF(I54=2,N54-T54,""))</f>
        <v>18863</v>
      </c>
      <c r="W54" s="191"/>
      <c r="X54" s="394">
        <f t="shared" ref="X54:X56" si="40">IF(OR(T54="",T54=0),"",ROUND(V54/T54,2))</f>
        <v>0.93</v>
      </c>
      <c r="Y54" s="207"/>
      <c r="Z54" s="208" t="s">
        <v>9</v>
      </c>
      <c r="AA54" s="209"/>
      <c r="AB54" s="209"/>
      <c r="AC54" s="209"/>
      <c r="AD54" s="210"/>
    </row>
    <row r="55" spans="4:30" ht="14.25" thickBot="1" x14ac:dyDescent="0.2">
      <c r="D55" s="3">
        <v>33</v>
      </c>
      <c r="E55" s="212" t="s">
        <v>271</v>
      </c>
      <c r="F55" s="213"/>
      <c r="G55" s="213"/>
      <c r="H55" s="213"/>
      <c r="I55" s="79">
        <v>1</v>
      </c>
      <c r="J55" s="378" t="str">
        <f t="shared" si="36"/>
        <v>借</v>
      </c>
      <c r="K55" s="79"/>
      <c r="L55" s="79"/>
      <c r="M55" s="378" t="str">
        <f t="shared" si="37"/>
        <v/>
      </c>
      <c r="N55" s="189">
        <v>0</v>
      </c>
      <c r="O55" s="190"/>
      <c r="P55" s="393" t="str">
        <f t="shared" si="29"/>
        <v/>
      </c>
      <c r="Q55" s="191"/>
      <c r="R55" s="393" t="str">
        <f t="shared" si="38"/>
        <v/>
      </c>
      <c r="S55" s="191"/>
      <c r="T55" s="211">
        <v>0</v>
      </c>
      <c r="U55" s="211"/>
      <c r="V55" s="393">
        <f t="shared" si="39"/>
        <v>0</v>
      </c>
      <c r="W55" s="191"/>
      <c r="X55" s="394" t="str">
        <f t="shared" si="40"/>
        <v/>
      </c>
      <c r="Y55" s="207"/>
      <c r="Z55" s="208" t="s">
        <v>9</v>
      </c>
      <c r="AA55" s="209"/>
      <c r="AB55" s="209"/>
      <c r="AC55" s="209"/>
      <c r="AD55" s="210"/>
    </row>
    <row r="56" spans="4:30" ht="14.25" thickBot="1" x14ac:dyDescent="0.2">
      <c r="D56" s="3">
        <v>34</v>
      </c>
      <c r="E56" s="153" t="s">
        <v>272</v>
      </c>
      <c r="F56" s="192"/>
      <c r="G56" s="192"/>
      <c r="H56" s="214"/>
      <c r="I56" s="79">
        <v>1</v>
      </c>
      <c r="J56" s="378" t="str">
        <f>IF(I56=1,"借",IF(I56=2,"貸",""))</f>
        <v>借</v>
      </c>
      <c r="K56" s="79"/>
      <c r="L56" s="79"/>
      <c r="M56" s="378" t="str">
        <f>IF(L56=1,"変",IF(L56=2,"固",""))</f>
        <v/>
      </c>
      <c r="N56" s="215">
        <f>SUM(N54:O55)</f>
        <v>1415</v>
      </c>
      <c r="O56" s="216"/>
      <c r="P56" s="2"/>
      <c r="Q56" s="2"/>
      <c r="R56" s="2"/>
      <c r="S56" s="2"/>
      <c r="T56" s="215">
        <f>SUM(T54:U55)</f>
        <v>20278</v>
      </c>
      <c r="U56" s="216"/>
      <c r="V56" s="393">
        <f>IF(I56=1,T56-N56,IF(I56=2,N56-T56,""))</f>
        <v>18863</v>
      </c>
      <c r="W56" s="191"/>
      <c r="X56" s="394">
        <f t="shared" si="40"/>
        <v>0.93</v>
      </c>
      <c r="Y56" s="207"/>
      <c r="Z56" s="208" t="s">
        <v>9</v>
      </c>
      <c r="AA56" s="209"/>
      <c r="AB56" s="209"/>
      <c r="AC56" s="209"/>
      <c r="AD56" s="210"/>
    </row>
    <row r="57" spans="4:30" ht="14.25" thickBot="1" x14ac:dyDescent="0.2"/>
    <row r="58" spans="4:30" ht="14.25" thickBot="1" x14ac:dyDescent="0.2">
      <c r="D58" s="3">
        <v>35</v>
      </c>
      <c r="E58" s="153" t="s">
        <v>273</v>
      </c>
      <c r="F58" s="192"/>
      <c r="G58" s="192"/>
      <c r="H58" s="214"/>
      <c r="I58" s="79">
        <v>2</v>
      </c>
      <c r="J58" s="378" t="str">
        <f>IF(I58=1,"借",IF(I58=2,"貸",""))</f>
        <v>貸</v>
      </c>
      <c r="K58" s="79"/>
      <c r="L58" s="79"/>
      <c r="M58" s="378" t="str">
        <f>IF(L58=1,"変",IF(L58=2,"固",""))</f>
        <v/>
      </c>
      <c r="N58" s="217">
        <f>+N51-N56</f>
        <v>630</v>
      </c>
      <c r="O58" s="218"/>
      <c r="P58" s="2"/>
      <c r="Q58" s="2"/>
      <c r="R58" s="2"/>
      <c r="S58" s="2"/>
      <c r="T58" s="217">
        <f>+T51-T56</f>
        <v>30418</v>
      </c>
      <c r="U58" s="218"/>
      <c r="V58" s="393">
        <f>IF(I58=1,T58-N58,IF(I58=2,N58-T58,""))</f>
        <v>-29788</v>
      </c>
      <c r="W58" s="191"/>
      <c r="X58" s="394">
        <f t="shared" ref="X58" si="41">IF(OR(T58="",T58=0),"",ROUND(V58/T58,2))</f>
        <v>-0.98</v>
      </c>
      <c r="Y58" s="207"/>
      <c r="Z58" s="208" t="s">
        <v>9</v>
      </c>
      <c r="AA58" s="209"/>
      <c r="AB58" s="209"/>
      <c r="AC58" s="209"/>
      <c r="AD58" s="210"/>
    </row>
    <row r="59" spans="4:30" ht="14.25" thickBot="1" x14ac:dyDescent="0.2">
      <c r="D59" s="3">
        <v>36</v>
      </c>
      <c r="E59" s="153" t="s">
        <v>268</v>
      </c>
      <c r="F59" s="192"/>
      <c r="G59" s="192"/>
      <c r="H59" s="154"/>
      <c r="I59" s="2"/>
      <c r="J59" s="2"/>
      <c r="K59" s="2"/>
      <c r="L59" s="2"/>
      <c r="M59" s="2"/>
      <c r="N59" s="219">
        <f>IF(OR(N$11="",N$11=0),"",ROUND(N58/N$11,2))</f>
        <v>0.01</v>
      </c>
      <c r="O59" s="220"/>
      <c r="P59" s="2"/>
      <c r="Q59" s="2"/>
      <c r="R59" s="2"/>
      <c r="S59" s="2"/>
      <c r="T59" s="219">
        <f>IF(OR(T$11="",T$11=0),"",ROUND(T58/T$11,2))</f>
        <v>0.18</v>
      </c>
      <c r="U59" s="220"/>
      <c r="V59" s="2"/>
      <c r="W59" s="2"/>
      <c r="X59" s="219">
        <f>-T59+N59</f>
        <v>-0.16999999999999998</v>
      </c>
      <c r="Y59" s="220"/>
      <c r="Z59" s="208" t="s">
        <v>9</v>
      </c>
      <c r="AA59" s="209"/>
      <c r="AB59" s="209"/>
      <c r="AC59" s="209"/>
      <c r="AD59" s="210"/>
    </row>
    <row r="61" spans="4:30" x14ac:dyDescent="0.15">
      <c r="D61" s="77" t="s">
        <v>274</v>
      </c>
    </row>
    <row r="62" spans="4:30" ht="14.25" thickBot="1" x14ac:dyDescent="0.2">
      <c r="D62" s="77"/>
    </row>
    <row r="63" spans="4:30" ht="14.25" thickBot="1" x14ac:dyDescent="0.2">
      <c r="D63" s="3">
        <v>37</v>
      </c>
      <c r="E63" s="221" t="s">
        <v>226</v>
      </c>
      <c r="F63" s="222"/>
      <c r="G63" s="222"/>
      <c r="H63" s="223"/>
      <c r="I63" s="79">
        <v>1</v>
      </c>
      <c r="J63" s="378" t="str">
        <f t="shared" ref="J63" si="42">IF(I63=1,"借",IF(I63=2,"貸",""))</f>
        <v>借</v>
      </c>
      <c r="P63" s="206">
        <f>P$20+SUM(P$38:Q$44)</f>
        <v>61000</v>
      </c>
      <c r="Q63" s="206"/>
      <c r="T63" s="206">
        <v>78000</v>
      </c>
      <c r="U63" s="206"/>
      <c r="V63" s="393">
        <f>-P63+T63</f>
        <v>17000</v>
      </c>
      <c r="W63" s="191"/>
      <c r="X63" s="394">
        <f t="shared" ref="X63" si="43">IF(OR(T63="",T63=0),"",ROUND(V63/T63,2))</f>
        <v>0.22</v>
      </c>
      <c r="Y63" s="207"/>
    </row>
    <row r="64" spans="4:30" ht="14.25" thickBot="1" x14ac:dyDescent="0.2">
      <c r="D64" s="3">
        <v>38</v>
      </c>
      <c r="E64" s="221" t="s">
        <v>275</v>
      </c>
      <c r="F64" s="222"/>
      <c r="G64" s="222"/>
      <c r="H64" s="223"/>
      <c r="I64" s="2"/>
      <c r="J64" s="2"/>
      <c r="K64" s="2"/>
      <c r="L64" s="2"/>
      <c r="M64" s="2"/>
      <c r="P64" s="224">
        <f>IF(OR($N$11="",$N$11=0),"",ROUND(P63/$N$11,2))</f>
        <v>0.61</v>
      </c>
      <c r="Q64" s="225"/>
      <c r="T64" s="224">
        <f>IF(OR(T$11="",T$11=0),"",ROUND(T63/T$11,2))</f>
        <v>0.47</v>
      </c>
      <c r="U64" s="225"/>
      <c r="V64" s="2"/>
      <c r="W64" s="2"/>
      <c r="X64" s="219">
        <f>T64-P64</f>
        <v>-0.14000000000000001</v>
      </c>
      <c r="Y64" s="220"/>
    </row>
    <row r="65" spans="4:30" ht="14.25" thickBot="1" x14ac:dyDescent="0.2">
      <c r="D65" s="3">
        <v>39</v>
      </c>
      <c r="E65" s="221" t="s">
        <v>276</v>
      </c>
      <c r="F65" s="222"/>
      <c r="G65" s="222"/>
      <c r="H65" s="223"/>
      <c r="P65" s="224">
        <f>1-P64</f>
        <v>0.39</v>
      </c>
      <c r="Q65" s="225"/>
      <c r="T65" s="224">
        <f>1-T64</f>
        <v>0.53</v>
      </c>
      <c r="U65" s="225"/>
      <c r="X65" s="219">
        <f>-T65+P65</f>
        <v>-0.14000000000000001</v>
      </c>
      <c r="Y65" s="220"/>
    </row>
    <row r="66" spans="4:30" ht="14.25" thickBot="1" x14ac:dyDescent="0.2"/>
    <row r="67" spans="4:30" ht="14.25" thickBot="1" x14ac:dyDescent="0.2">
      <c r="D67" s="3">
        <v>40</v>
      </c>
      <c r="E67" s="221" t="s">
        <v>227</v>
      </c>
      <c r="F67" s="222"/>
      <c r="G67" s="222"/>
      <c r="H67" s="223"/>
      <c r="I67" s="79">
        <v>1</v>
      </c>
      <c r="J67" s="378" t="str">
        <f t="shared" ref="J67" si="44">IF(I67=1,"借",IF(I67=2,"貸",""))</f>
        <v>借</v>
      </c>
      <c r="R67" s="237">
        <f>R$20+SUM(R$38:S$44)</f>
        <v>36955</v>
      </c>
      <c r="S67" s="238"/>
      <c r="T67" s="237">
        <v>36304</v>
      </c>
      <c r="U67" s="238"/>
      <c r="V67" s="395">
        <f>-R67+T67</f>
        <v>-651</v>
      </c>
      <c r="W67" s="191"/>
      <c r="X67" s="394">
        <f t="shared" ref="X67" si="45">IF(OR(T67="",T67=0),"",ROUND(V67/T67,2))</f>
        <v>-0.02</v>
      </c>
      <c r="Y67" s="207"/>
    </row>
    <row r="69" spans="4:30" ht="14.25" thickBot="1" x14ac:dyDescent="0.2"/>
    <row r="70" spans="4:30" ht="14.25" thickBot="1" x14ac:dyDescent="0.2">
      <c r="E70" s="221" t="s">
        <v>277</v>
      </c>
      <c r="F70" s="222"/>
      <c r="G70" s="222"/>
      <c r="H70" s="223"/>
      <c r="J70" s="221" t="s">
        <v>278</v>
      </c>
      <c r="K70" s="222"/>
      <c r="L70" s="222"/>
      <c r="M70" s="222"/>
      <c r="N70" s="222"/>
      <c r="O70" s="223"/>
      <c r="Q70" s="221" t="s">
        <v>279</v>
      </c>
      <c r="R70" s="222"/>
      <c r="S70" s="222"/>
      <c r="T70" s="222"/>
      <c r="U70" s="223"/>
      <c r="W70" s="221" t="s">
        <v>280</v>
      </c>
      <c r="X70" s="222"/>
      <c r="Y70" s="222"/>
      <c r="Z70" s="222"/>
      <c r="AA70" s="222"/>
      <c r="AB70" s="222"/>
      <c r="AC70" s="222"/>
      <c r="AD70" s="223"/>
    </row>
    <row r="71" spans="4:30" ht="24.75" thickBot="1" x14ac:dyDescent="0.2">
      <c r="E71" s="187" t="s">
        <v>87</v>
      </c>
      <c r="F71" s="188"/>
      <c r="G71" s="188"/>
      <c r="H71" s="203"/>
      <c r="J71" s="396">
        <f>+N13</f>
        <v>100</v>
      </c>
      <c r="K71" s="226"/>
      <c r="L71" s="226"/>
      <c r="M71" s="226"/>
      <c r="N71" s="227"/>
      <c r="O71" s="80" t="s">
        <v>281</v>
      </c>
      <c r="P71" s="12" t="s">
        <v>282</v>
      </c>
      <c r="Q71" s="228">
        <v>90</v>
      </c>
      <c r="R71" s="229"/>
      <c r="S71" s="229"/>
      <c r="T71" s="230"/>
      <c r="U71" s="80" t="s">
        <v>281</v>
      </c>
      <c r="W71" s="212" t="s">
        <v>283</v>
      </c>
      <c r="X71" s="213"/>
      <c r="Y71" s="213"/>
      <c r="Z71" s="213"/>
      <c r="AA71" s="213"/>
      <c r="AB71" s="213"/>
      <c r="AC71" s="213"/>
      <c r="AD71" s="231"/>
    </row>
    <row r="72" spans="4:30" ht="14.25" thickBot="1" x14ac:dyDescent="0.2">
      <c r="E72" s="221" t="s">
        <v>275</v>
      </c>
      <c r="F72" s="222"/>
      <c r="G72" s="222"/>
      <c r="H72" s="223"/>
      <c r="J72" s="397">
        <f>+P64</f>
        <v>0.61</v>
      </c>
      <c r="K72" s="232"/>
      <c r="L72" s="232"/>
      <c r="M72" s="232"/>
      <c r="N72" s="233"/>
      <c r="Q72" s="234">
        <v>0.51</v>
      </c>
      <c r="R72" s="235"/>
      <c r="S72" s="235"/>
      <c r="T72" s="236"/>
      <c r="W72" s="212" t="s">
        <v>284</v>
      </c>
      <c r="X72" s="213"/>
      <c r="Y72" s="213"/>
      <c r="Z72" s="213"/>
      <c r="AA72" s="213"/>
      <c r="AB72" s="213"/>
      <c r="AC72" s="213"/>
      <c r="AD72" s="231"/>
    </row>
    <row r="73" spans="4:30" ht="24.75" thickBot="1" x14ac:dyDescent="0.2">
      <c r="E73" s="239" t="s">
        <v>276</v>
      </c>
      <c r="F73" s="240"/>
      <c r="G73" s="240"/>
      <c r="H73" s="241"/>
      <c r="J73" s="397">
        <f>1-J72</f>
        <v>0.39</v>
      </c>
      <c r="K73" s="232"/>
      <c r="L73" s="232"/>
      <c r="M73" s="232"/>
      <c r="N73" s="233"/>
      <c r="P73" s="12" t="s">
        <v>27</v>
      </c>
      <c r="Q73" s="250">
        <f>1-Q72</f>
        <v>0.49</v>
      </c>
      <c r="R73" s="251"/>
      <c r="S73" s="251"/>
      <c r="T73" s="252"/>
      <c r="W73" s="212" t="s">
        <v>285</v>
      </c>
      <c r="X73" s="213"/>
      <c r="Y73" s="213"/>
      <c r="Z73" s="213"/>
      <c r="AA73" s="213"/>
      <c r="AB73" s="213"/>
      <c r="AC73" s="213"/>
      <c r="AD73" s="231"/>
    </row>
    <row r="74" spans="4:30" ht="24.75" thickBot="1" x14ac:dyDescent="0.2">
      <c r="E74" s="239" t="s">
        <v>227</v>
      </c>
      <c r="F74" s="240"/>
      <c r="G74" s="240"/>
      <c r="H74" s="241"/>
      <c r="J74" s="396">
        <f>+R67</f>
        <v>36955</v>
      </c>
      <c r="K74" s="226"/>
      <c r="L74" s="226"/>
      <c r="M74" s="226"/>
      <c r="N74" s="227"/>
      <c r="O74" s="80" t="s">
        <v>281</v>
      </c>
      <c r="P74" s="12" t="s">
        <v>52</v>
      </c>
      <c r="Q74" s="242">
        <v>29755</v>
      </c>
      <c r="R74" s="243"/>
      <c r="S74" s="243"/>
      <c r="T74" s="244"/>
      <c r="U74" s="80" t="s">
        <v>281</v>
      </c>
      <c r="W74" s="212" t="s">
        <v>286</v>
      </c>
      <c r="X74" s="213"/>
      <c r="Y74" s="213"/>
      <c r="Z74" s="213"/>
      <c r="AA74" s="213"/>
      <c r="AB74" s="213"/>
      <c r="AC74" s="213"/>
      <c r="AD74" s="231"/>
    </row>
    <row r="76" spans="4:30" ht="14.25" thickBot="1" x14ac:dyDescent="0.2"/>
    <row r="77" spans="4:30" ht="24.75" thickBot="1" x14ac:dyDescent="0.2">
      <c r="E77" s="239" t="s">
        <v>287</v>
      </c>
      <c r="F77" s="240"/>
      <c r="G77" s="240"/>
      <c r="H77" s="241"/>
      <c r="P77" s="12" t="s">
        <v>26</v>
      </c>
      <c r="Q77" s="242">
        <v>25578</v>
      </c>
      <c r="R77" s="243"/>
      <c r="S77" s="243"/>
      <c r="T77" s="244"/>
      <c r="U77" s="80" t="s">
        <v>281</v>
      </c>
      <c r="W77" s="212" t="s">
        <v>288</v>
      </c>
      <c r="X77" s="213"/>
      <c r="Y77" s="213"/>
      <c r="Z77" s="213"/>
      <c r="AA77" s="213"/>
      <c r="AB77" s="213"/>
      <c r="AC77" s="213"/>
      <c r="AD77" s="231"/>
    </row>
    <row r="79" spans="4:30" ht="14.25" thickBot="1" x14ac:dyDescent="0.2"/>
    <row r="80" spans="4:30" ht="24.75" thickBot="1" x14ac:dyDescent="0.2">
      <c r="E80" s="245" t="s">
        <v>289</v>
      </c>
      <c r="F80" s="246"/>
      <c r="G80" s="246"/>
      <c r="H80" s="247"/>
      <c r="I80" s="248" t="s">
        <v>290</v>
      </c>
      <c r="J80" s="155"/>
      <c r="K80" s="81" t="s">
        <v>291</v>
      </c>
    </row>
    <row r="81" spans="5:29" ht="14.25" thickBot="1" x14ac:dyDescent="0.2"/>
    <row r="82" spans="5:29" ht="24.75" thickBot="1" x14ac:dyDescent="0.2">
      <c r="H82" s="82"/>
      <c r="I82" s="249" t="s">
        <v>290</v>
      </c>
      <c r="J82" s="155"/>
      <c r="K82" s="242">
        <f>ROUND((Q74+Q77)/Q73,2)</f>
        <v>112924.49</v>
      </c>
      <c r="L82" s="243"/>
      <c r="M82" s="243"/>
      <c r="N82" s="244"/>
      <c r="O82" t="s">
        <v>281</v>
      </c>
      <c r="P82" s="12" t="s">
        <v>53</v>
      </c>
    </row>
    <row r="84" spans="5:29" ht="14.25" thickBot="1" x14ac:dyDescent="0.2"/>
    <row r="85" spans="5:29" ht="24.75" thickBot="1" x14ac:dyDescent="0.2">
      <c r="E85" s="239" t="s">
        <v>292</v>
      </c>
      <c r="F85" s="240"/>
      <c r="G85" s="240"/>
      <c r="H85" s="241"/>
      <c r="I85" s="249" t="s">
        <v>290</v>
      </c>
      <c r="J85" s="155"/>
      <c r="K85" s="83" t="s">
        <v>53</v>
      </c>
      <c r="L85" s="258">
        <f>+K82</f>
        <v>112924.49</v>
      </c>
      <c r="M85" s="259"/>
      <c r="N85" s="259"/>
      <c r="O85" s="260"/>
      <c r="P85" s="84" t="s">
        <v>281</v>
      </c>
      <c r="Q85" s="81" t="s">
        <v>293</v>
      </c>
      <c r="V85" s="256">
        <f>+Q71</f>
        <v>90</v>
      </c>
      <c r="W85" s="257"/>
      <c r="X85" s="84" t="s">
        <v>281</v>
      </c>
    </row>
    <row r="86" spans="5:29" ht="14.25" thickBot="1" x14ac:dyDescent="0.2"/>
    <row r="87" spans="5:29" ht="29.25" thickBot="1" x14ac:dyDescent="0.2">
      <c r="I87" s="249" t="s">
        <v>290</v>
      </c>
      <c r="J87" s="155"/>
      <c r="K87" s="242">
        <f>ROUND(L85/V85,0)</f>
        <v>1255</v>
      </c>
      <c r="L87" s="243"/>
      <c r="M87" s="243"/>
      <c r="N87" s="244"/>
      <c r="O87" t="s">
        <v>76</v>
      </c>
      <c r="P87" s="81" t="s">
        <v>294</v>
      </c>
      <c r="U87" s="253">
        <f>ROUNDUP(K87,-1)</f>
        <v>1260</v>
      </c>
      <c r="V87" s="254"/>
      <c r="W87" s="254"/>
      <c r="X87" s="255"/>
      <c r="Y87" t="s">
        <v>76</v>
      </c>
      <c r="Z87" s="155" t="s">
        <v>55</v>
      </c>
      <c r="AA87" s="155"/>
      <c r="AB87" s="155"/>
      <c r="AC87" s="155"/>
    </row>
    <row r="89" spans="5:29" ht="14.25" thickBot="1" x14ac:dyDescent="0.2"/>
    <row r="90" spans="5:29" ht="24.75" thickBot="1" x14ac:dyDescent="0.2">
      <c r="E90" s="245" t="s">
        <v>295</v>
      </c>
      <c r="F90" s="246"/>
      <c r="G90" s="246"/>
      <c r="H90" s="247"/>
      <c r="I90" s="249" t="s">
        <v>290</v>
      </c>
      <c r="J90" s="155"/>
      <c r="K90" s="81" t="s">
        <v>296</v>
      </c>
      <c r="Q90" s="256">
        <f>+V85</f>
        <v>90</v>
      </c>
      <c r="R90" s="257"/>
      <c r="S90" s="84" t="s">
        <v>281</v>
      </c>
      <c r="T90" s="85" t="s">
        <v>297</v>
      </c>
      <c r="U90" s="242">
        <f>+U87</f>
        <v>1260</v>
      </c>
      <c r="V90" s="243"/>
      <c r="W90" s="243"/>
      <c r="X90" s="244"/>
      <c r="Y90" t="s">
        <v>76</v>
      </c>
      <c r="Z90" s="155" t="s">
        <v>55</v>
      </c>
      <c r="AA90" s="155"/>
      <c r="AB90" s="155"/>
      <c r="AC90" s="155"/>
    </row>
    <row r="92" spans="5:29" ht="14.25" thickBot="1" x14ac:dyDescent="0.2"/>
    <row r="93" spans="5:29" ht="29.25" thickBot="1" x14ac:dyDescent="0.2">
      <c r="I93" s="249" t="s">
        <v>290</v>
      </c>
      <c r="J93" s="155"/>
      <c r="K93" s="253">
        <f>ROUND(Q90*U90,0)</f>
        <v>113400</v>
      </c>
      <c r="L93" s="254"/>
      <c r="M93" s="254"/>
      <c r="N93" s="255"/>
      <c r="O93" t="s">
        <v>281</v>
      </c>
      <c r="P93" s="12" t="s">
        <v>53</v>
      </c>
    </row>
  </sheetData>
  <mergeCells count="363">
    <mergeCell ref="I93:J93"/>
    <mergeCell ref="K93:N93"/>
    <mergeCell ref="Z87:AC87"/>
    <mergeCell ref="E90:H90"/>
    <mergeCell ref="I90:J90"/>
    <mergeCell ref="Q90:R90"/>
    <mergeCell ref="U90:X90"/>
    <mergeCell ref="Z90:AC90"/>
    <mergeCell ref="E85:H85"/>
    <mergeCell ref="I85:J85"/>
    <mergeCell ref="L85:O85"/>
    <mergeCell ref="V85:W85"/>
    <mergeCell ref="I87:J87"/>
    <mergeCell ref="K87:N87"/>
    <mergeCell ref="U87:X87"/>
    <mergeCell ref="E77:H77"/>
    <mergeCell ref="Q77:T77"/>
    <mergeCell ref="W77:AD77"/>
    <mergeCell ref="E80:H80"/>
    <mergeCell ref="I80:J80"/>
    <mergeCell ref="I82:J82"/>
    <mergeCell ref="K82:N82"/>
    <mergeCell ref="E73:H73"/>
    <mergeCell ref="J73:N73"/>
    <mergeCell ref="Q73:T73"/>
    <mergeCell ref="W73:AD73"/>
    <mergeCell ref="E74:H74"/>
    <mergeCell ref="J74:N74"/>
    <mergeCell ref="Q74:T74"/>
    <mergeCell ref="W74:AD74"/>
    <mergeCell ref="E71:H71"/>
    <mergeCell ref="J71:N71"/>
    <mergeCell ref="Q71:T71"/>
    <mergeCell ref="W71:AD71"/>
    <mergeCell ref="E72:H72"/>
    <mergeCell ref="J72:N72"/>
    <mergeCell ref="Q72:T72"/>
    <mergeCell ref="W72:AD72"/>
    <mergeCell ref="E67:H67"/>
    <mergeCell ref="R67:S67"/>
    <mergeCell ref="T67:U67"/>
    <mergeCell ref="V67:W67"/>
    <mergeCell ref="X67:Y67"/>
    <mergeCell ref="E70:H70"/>
    <mergeCell ref="J70:O70"/>
    <mergeCell ref="Q70:U70"/>
    <mergeCell ref="W70:AD70"/>
    <mergeCell ref="E64:H64"/>
    <mergeCell ref="P64:Q64"/>
    <mergeCell ref="T64:U64"/>
    <mergeCell ref="X64:Y64"/>
    <mergeCell ref="E65:H65"/>
    <mergeCell ref="P65:Q65"/>
    <mergeCell ref="T65:U65"/>
    <mergeCell ref="X65:Y65"/>
    <mergeCell ref="E59:H59"/>
    <mergeCell ref="N59:O59"/>
    <mergeCell ref="T59:U59"/>
    <mergeCell ref="X59:Y59"/>
    <mergeCell ref="Z59:AD59"/>
    <mergeCell ref="E63:H63"/>
    <mergeCell ref="P63:Q63"/>
    <mergeCell ref="T63:U63"/>
    <mergeCell ref="V63:W63"/>
    <mergeCell ref="X63:Y63"/>
    <mergeCell ref="E58:H58"/>
    <mergeCell ref="N58:O58"/>
    <mergeCell ref="T58:U58"/>
    <mergeCell ref="V58:W58"/>
    <mergeCell ref="X58:Y58"/>
    <mergeCell ref="Z58:AD58"/>
    <mergeCell ref="Z55:AD55"/>
    <mergeCell ref="E56:H56"/>
    <mergeCell ref="N56:O56"/>
    <mergeCell ref="T56:U56"/>
    <mergeCell ref="V56:W56"/>
    <mergeCell ref="X56:Y56"/>
    <mergeCell ref="Z56:AD56"/>
    <mergeCell ref="V54:W54"/>
    <mergeCell ref="X54:Y54"/>
    <mergeCell ref="Z54:AD54"/>
    <mergeCell ref="E55:H55"/>
    <mergeCell ref="N55:O55"/>
    <mergeCell ref="P55:Q55"/>
    <mergeCell ref="R55:S55"/>
    <mergeCell ref="T55:U55"/>
    <mergeCell ref="V55:W55"/>
    <mergeCell ref="X55:Y55"/>
    <mergeCell ref="E52:H52"/>
    <mergeCell ref="N52:O52"/>
    <mergeCell ref="T52:U52"/>
    <mergeCell ref="X52:Y52"/>
    <mergeCell ref="Z52:AD52"/>
    <mergeCell ref="E54:H54"/>
    <mergeCell ref="N54:O54"/>
    <mergeCell ref="P54:Q54"/>
    <mergeCell ref="R54:S54"/>
    <mergeCell ref="T54:U54"/>
    <mergeCell ref="Z50:AD50"/>
    <mergeCell ref="E51:H51"/>
    <mergeCell ref="N51:O51"/>
    <mergeCell ref="T51:U51"/>
    <mergeCell ref="V51:W51"/>
    <mergeCell ref="X51:Y51"/>
    <mergeCell ref="Z51:AD51"/>
    <mergeCell ref="V48:W48"/>
    <mergeCell ref="X48:Y48"/>
    <mergeCell ref="Z48:AD48"/>
    <mergeCell ref="E50:H50"/>
    <mergeCell ref="N50:O50"/>
    <mergeCell ref="P50:Q50"/>
    <mergeCell ref="R50:S50"/>
    <mergeCell ref="T50:U50"/>
    <mergeCell ref="V50:W50"/>
    <mergeCell ref="X50:Y50"/>
    <mergeCell ref="E46:H46"/>
    <mergeCell ref="N46:O46"/>
    <mergeCell ref="T46:U46"/>
    <mergeCell ref="X46:Y46"/>
    <mergeCell ref="Z46:AD46"/>
    <mergeCell ref="E48:H48"/>
    <mergeCell ref="N48:O48"/>
    <mergeCell ref="P48:Q48"/>
    <mergeCell ref="R48:S48"/>
    <mergeCell ref="T48:U48"/>
    <mergeCell ref="Z44:AD44"/>
    <mergeCell ref="E45:H45"/>
    <mergeCell ref="N45:O45"/>
    <mergeCell ref="T45:U45"/>
    <mergeCell ref="V45:W45"/>
    <mergeCell ref="X45:Y45"/>
    <mergeCell ref="Z45:AD45"/>
    <mergeCell ref="V42:W42"/>
    <mergeCell ref="X42:Y42"/>
    <mergeCell ref="Z42:AD42"/>
    <mergeCell ref="E44:H44"/>
    <mergeCell ref="N44:O44"/>
    <mergeCell ref="P44:Q44"/>
    <mergeCell ref="R44:S44"/>
    <mergeCell ref="T44:U44"/>
    <mergeCell ref="V44:W44"/>
    <mergeCell ref="X44:Y44"/>
    <mergeCell ref="E40:H40"/>
    <mergeCell ref="N40:O40"/>
    <mergeCell ref="T40:U40"/>
    <mergeCell ref="X40:Y40"/>
    <mergeCell ref="Z40:AD40"/>
    <mergeCell ref="E42:H42"/>
    <mergeCell ref="N42:O42"/>
    <mergeCell ref="P42:Q42"/>
    <mergeCell ref="R42:S42"/>
    <mergeCell ref="T42:U42"/>
    <mergeCell ref="E39:H39"/>
    <mergeCell ref="N39:O39"/>
    <mergeCell ref="T39:U39"/>
    <mergeCell ref="V39:W39"/>
    <mergeCell ref="X39:Y39"/>
    <mergeCell ref="Z39:AD39"/>
    <mergeCell ref="X37:Y37"/>
    <mergeCell ref="Z37:AD37"/>
    <mergeCell ref="E38:H38"/>
    <mergeCell ref="N38:O38"/>
    <mergeCell ref="P38:Q38"/>
    <mergeCell ref="R38:S38"/>
    <mergeCell ref="T38:U38"/>
    <mergeCell ref="V38:W38"/>
    <mergeCell ref="X38:Y38"/>
    <mergeCell ref="Z38:AD38"/>
    <mergeCell ref="E37:H37"/>
    <mergeCell ref="N37:O37"/>
    <mergeCell ref="P37:Q37"/>
    <mergeCell ref="R37:S37"/>
    <mergeCell ref="T37:U37"/>
    <mergeCell ref="V37:W37"/>
    <mergeCell ref="X35:Y35"/>
    <mergeCell ref="Z35:AD35"/>
    <mergeCell ref="E36:H36"/>
    <mergeCell ref="N36:O36"/>
    <mergeCell ref="P36:Q36"/>
    <mergeCell ref="R36:S36"/>
    <mergeCell ref="T36:U36"/>
    <mergeCell ref="V36:W36"/>
    <mergeCell ref="X36:Y36"/>
    <mergeCell ref="Z36:AD36"/>
    <mergeCell ref="E35:H35"/>
    <mergeCell ref="N35:O35"/>
    <mergeCell ref="P35:Q35"/>
    <mergeCell ref="R35:S35"/>
    <mergeCell ref="T35:U35"/>
    <mergeCell ref="V35:W35"/>
    <mergeCell ref="X33:Y33"/>
    <mergeCell ref="Z33:AD33"/>
    <mergeCell ref="E34:H34"/>
    <mergeCell ref="N34:O34"/>
    <mergeCell ref="P34:Q34"/>
    <mergeCell ref="R34:S34"/>
    <mergeCell ref="T34:U34"/>
    <mergeCell ref="V34:W34"/>
    <mergeCell ref="X34:Y34"/>
    <mergeCell ref="Z34:AD34"/>
    <mergeCell ref="E33:H33"/>
    <mergeCell ref="N33:O33"/>
    <mergeCell ref="P33:Q33"/>
    <mergeCell ref="R33:S33"/>
    <mergeCell ref="T33:U33"/>
    <mergeCell ref="V33:W33"/>
    <mergeCell ref="X31:Y31"/>
    <mergeCell ref="Z31:AD31"/>
    <mergeCell ref="E32:H32"/>
    <mergeCell ref="N32:O32"/>
    <mergeCell ref="P32:Q32"/>
    <mergeCell ref="R32:S32"/>
    <mergeCell ref="T32:U32"/>
    <mergeCell ref="V32:W32"/>
    <mergeCell ref="X32:Y32"/>
    <mergeCell ref="Z32:AD32"/>
    <mergeCell ref="E31:H31"/>
    <mergeCell ref="N31:O31"/>
    <mergeCell ref="P31:Q31"/>
    <mergeCell ref="R31:S31"/>
    <mergeCell ref="T31:U31"/>
    <mergeCell ref="V31:W31"/>
    <mergeCell ref="X29:Y29"/>
    <mergeCell ref="Z29:AD29"/>
    <mergeCell ref="E30:H30"/>
    <mergeCell ref="N30:O30"/>
    <mergeCell ref="P30:Q30"/>
    <mergeCell ref="R30:S30"/>
    <mergeCell ref="T30:U30"/>
    <mergeCell ref="V30:W30"/>
    <mergeCell ref="X30:Y30"/>
    <mergeCell ref="Z30:AD30"/>
    <mergeCell ref="E29:H29"/>
    <mergeCell ref="N29:O29"/>
    <mergeCell ref="P29:Q29"/>
    <mergeCell ref="R29:S29"/>
    <mergeCell ref="T29:U29"/>
    <mergeCell ref="V29:W29"/>
    <mergeCell ref="X27:Y27"/>
    <mergeCell ref="Z27:AD27"/>
    <mergeCell ref="E28:H28"/>
    <mergeCell ref="N28:O28"/>
    <mergeCell ref="P28:Q28"/>
    <mergeCell ref="R28:S28"/>
    <mergeCell ref="T28:U28"/>
    <mergeCell ref="V28:W28"/>
    <mergeCell ref="X28:Y28"/>
    <mergeCell ref="Z28:AD28"/>
    <mergeCell ref="E27:H27"/>
    <mergeCell ref="N27:O27"/>
    <mergeCell ref="P27:Q27"/>
    <mergeCell ref="R27:S27"/>
    <mergeCell ref="T27:U27"/>
    <mergeCell ref="V27:W27"/>
    <mergeCell ref="E25:H25"/>
    <mergeCell ref="N25:O25"/>
    <mergeCell ref="P25:Q25"/>
    <mergeCell ref="R25:S25"/>
    <mergeCell ref="T25:U25"/>
    <mergeCell ref="V25:W25"/>
    <mergeCell ref="X25:Y25"/>
    <mergeCell ref="Z25:AD25"/>
    <mergeCell ref="E26:H26"/>
    <mergeCell ref="N26:O26"/>
    <mergeCell ref="P26:Q26"/>
    <mergeCell ref="R26:S26"/>
    <mergeCell ref="T26:U26"/>
    <mergeCell ref="V26:W26"/>
    <mergeCell ref="X26:Y26"/>
    <mergeCell ref="Z26:AD26"/>
    <mergeCell ref="E22:H22"/>
    <mergeCell ref="N22:O22"/>
    <mergeCell ref="T22:U22"/>
    <mergeCell ref="X22:Y22"/>
    <mergeCell ref="Z22:AD22"/>
    <mergeCell ref="E24:H24"/>
    <mergeCell ref="N24:O24"/>
    <mergeCell ref="P24:Q24"/>
    <mergeCell ref="R24:S24"/>
    <mergeCell ref="T24:U24"/>
    <mergeCell ref="V24:W24"/>
    <mergeCell ref="X24:Y24"/>
    <mergeCell ref="Z24:AD24"/>
    <mergeCell ref="X20:Y20"/>
    <mergeCell ref="Z20:AD20"/>
    <mergeCell ref="E21:H21"/>
    <mergeCell ref="N21:O21"/>
    <mergeCell ref="T21:U21"/>
    <mergeCell ref="V21:W21"/>
    <mergeCell ref="X21:Y21"/>
    <mergeCell ref="Z21:AD21"/>
    <mergeCell ref="E20:H20"/>
    <mergeCell ref="N20:O20"/>
    <mergeCell ref="P20:Q20"/>
    <mergeCell ref="R20:S20"/>
    <mergeCell ref="T20:U20"/>
    <mergeCell ref="V20:W20"/>
    <mergeCell ref="X18:Y18"/>
    <mergeCell ref="Z18:AD18"/>
    <mergeCell ref="E19:H19"/>
    <mergeCell ref="N19:O19"/>
    <mergeCell ref="P19:Q19"/>
    <mergeCell ref="R19:S19"/>
    <mergeCell ref="T19:U19"/>
    <mergeCell ref="V19:W19"/>
    <mergeCell ref="X19:Y19"/>
    <mergeCell ref="Z19:AD19"/>
    <mergeCell ref="E18:H18"/>
    <mergeCell ref="N18:O18"/>
    <mergeCell ref="P18:Q18"/>
    <mergeCell ref="R18:S18"/>
    <mergeCell ref="T18:U18"/>
    <mergeCell ref="V18:W18"/>
    <mergeCell ref="X16:Y16"/>
    <mergeCell ref="Z16:AD16"/>
    <mergeCell ref="E17:H17"/>
    <mergeCell ref="N17:O17"/>
    <mergeCell ref="P17:Q17"/>
    <mergeCell ref="R17:S17"/>
    <mergeCell ref="T17:U17"/>
    <mergeCell ref="V17:W17"/>
    <mergeCell ref="X17:Y17"/>
    <mergeCell ref="Z17:AD17"/>
    <mergeCell ref="E16:H16"/>
    <mergeCell ref="N16:O16"/>
    <mergeCell ref="P16:Q16"/>
    <mergeCell ref="R16:S16"/>
    <mergeCell ref="T16:U16"/>
    <mergeCell ref="V16:W16"/>
    <mergeCell ref="E14:H14"/>
    <mergeCell ref="N14:O14"/>
    <mergeCell ref="T14:U14"/>
    <mergeCell ref="V14:W14"/>
    <mergeCell ref="X14:Y14"/>
    <mergeCell ref="Z14:AD14"/>
    <mergeCell ref="T11:U11"/>
    <mergeCell ref="V11:W11"/>
    <mergeCell ref="X11:Y11"/>
    <mergeCell ref="Z11:AD11"/>
    <mergeCell ref="E13:H13"/>
    <mergeCell ref="N13:O13"/>
    <mergeCell ref="T13:U13"/>
    <mergeCell ref="V13:W13"/>
    <mergeCell ref="X13:Y13"/>
    <mergeCell ref="Z13:AD13"/>
    <mergeCell ref="N8:O9"/>
    <mergeCell ref="P8:S8"/>
    <mergeCell ref="P9:Q9"/>
    <mergeCell ref="R9:S9"/>
    <mergeCell ref="E11:H11"/>
    <mergeCell ref="N11:O11"/>
    <mergeCell ref="P11:Q11"/>
    <mergeCell ref="R11:S11"/>
    <mergeCell ref="D2:AD2"/>
    <mergeCell ref="D4:AD4"/>
    <mergeCell ref="E7:H7"/>
    <mergeCell ref="I7:J7"/>
    <mergeCell ref="L7:M7"/>
    <mergeCell ref="N7:S7"/>
    <mergeCell ref="T7:U9"/>
    <mergeCell ref="V7:W9"/>
    <mergeCell ref="X7:Y9"/>
    <mergeCell ref="Z7:AD9"/>
  </mergeCells>
  <phoneticPr fontId="2"/>
  <printOptions horizontalCentered="1"/>
  <pageMargins left="0.31496062992125984" right="0.19685039370078741" top="0.22" bottom="0.31496062992125984" header="0.2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B53"/>
  <sheetViews>
    <sheetView topLeftCell="A40" workbookViewId="0">
      <selection activeCell="O58" sqref="O58"/>
    </sheetView>
  </sheetViews>
  <sheetFormatPr defaultRowHeight="13.5" x14ac:dyDescent="0.15"/>
  <cols>
    <col min="3" max="3" width="2.75" customWidth="1"/>
    <col min="4" max="4" width="19.125" customWidth="1"/>
    <col min="5" max="6" width="4.875" customWidth="1"/>
    <col min="7" max="8" width="3.5" customWidth="1"/>
    <col min="9" max="28" width="9.625" customWidth="1"/>
  </cols>
  <sheetData>
    <row r="2" spans="3:28" ht="24" x14ac:dyDescent="0.15">
      <c r="C2" s="155" t="s">
        <v>577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3:28" ht="2.4500000000000002" customHeight="1" thickBot="1" x14ac:dyDescent="0.2"/>
    <row r="4" spans="3:28" ht="27.75" thickBot="1" x14ac:dyDescent="0.2">
      <c r="D4" s="1" t="s">
        <v>0</v>
      </c>
      <c r="E4" s="367" t="s">
        <v>1</v>
      </c>
      <c r="F4" s="156"/>
      <c r="G4" s="156"/>
      <c r="H4" s="157"/>
      <c r="I4" s="158"/>
      <c r="J4" s="2"/>
      <c r="K4" s="2"/>
      <c r="W4" s="153" t="s">
        <v>2</v>
      </c>
      <c r="X4" s="154"/>
      <c r="Y4" s="13" t="s">
        <v>72</v>
      </c>
      <c r="Z4" s="13" t="s">
        <v>73</v>
      </c>
      <c r="AA4" s="13" t="s">
        <v>74</v>
      </c>
    </row>
    <row r="5" spans="3:28" ht="18" thickBot="1" x14ac:dyDescent="0.2">
      <c r="D5" s="1" t="s">
        <v>3</v>
      </c>
      <c r="E5" s="367" t="s">
        <v>4</v>
      </c>
      <c r="F5" s="156"/>
      <c r="G5" s="156"/>
      <c r="H5" s="157"/>
      <c r="I5" s="158"/>
      <c r="J5" s="2"/>
      <c r="K5" s="2"/>
      <c r="W5" s="153" t="s">
        <v>5</v>
      </c>
      <c r="X5" s="154"/>
      <c r="Y5" s="3" t="s">
        <v>6</v>
      </c>
      <c r="Z5" s="3" t="s">
        <v>7</v>
      </c>
      <c r="AA5" s="3" t="s">
        <v>0</v>
      </c>
    </row>
    <row r="6" spans="3:28" ht="14.25" thickBot="1" x14ac:dyDescent="0.2">
      <c r="D6" s="4" t="s">
        <v>34</v>
      </c>
      <c r="E6" s="152" t="s">
        <v>35</v>
      </c>
      <c r="F6" s="152"/>
      <c r="G6" s="152"/>
      <c r="H6" s="152"/>
      <c r="I6" s="152"/>
      <c r="J6" s="2"/>
      <c r="K6" s="2" t="s">
        <v>310</v>
      </c>
      <c r="W6" s="153" t="s">
        <v>8</v>
      </c>
      <c r="X6" s="154"/>
      <c r="Y6" s="3" t="s">
        <v>9</v>
      </c>
      <c r="Z6" s="3" t="s">
        <v>9</v>
      </c>
      <c r="AA6" s="398" t="str">
        <f>+E4</f>
        <v>田辺雄一</v>
      </c>
    </row>
    <row r="7" spans="3:28" ht="14.25" thickBot="1" x14ac:dyDescent="0.2">
      <c r="D7" s="159" t="s">
        <v>10</v>
      </c>
      <c r="E7" s="160"/>
      <c r="F7" s="160"/>
      <c r="G7" s="160"/>
      <c r="H7" s="160"/>
      <c r="I7" s="161"/>
      <c r="J7" s="2"/>
      <c r="K7" s="2"/>
      <c r="W7" s="153" t="s">
        <v>11</v>
      </c>
      <c r="X7" s="154"/>
      <c r="Y7" s="3" t="s">
        <v>12</v>
      </c>
      <c r="Z7" s="3" t="s">
        <v>13</v>
      </c>
      <c r="AA7" s="30" t="s">
        <v>12</v>
      </c>
    </row>
    <row r="9" spans="3:28" x14ac:dyDescent="0.15">
      <c r="C9" s="162" t="s">
        <v>14</v>
      </c>
      <c r="D9" s="165" t="s">
        <v>15</v>
      </c>
      <c r="E9" s="168" t="s">
        <v>16</v>
      </c>
      <c r="F9" s="168" t="s">
        <v>17</v>
      </c>
      <c r="G9" s="162" t="s">
        <v>18</v>
      </c>
      <c r="H9" s="162" t="s">
        <v>19</v>
      </c>
      <c r="I9" s="162" t="s">
        <v>20</v>
      </c>
      <c r="J9" s="8" t="s">
        <v>49</v>
      </c>
      <c r="K9" s="162" t="s">
        <v>67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38</v>
      </c>
      <c r="Q9" s="5" t="s">
        <v>38</v>
      </c>
      <c r="R9" s="5" t="s">
        <v>38</v>
      </c>
      <c r="S9" s="5" t="s">
        <v>38</v>
      </c>
      <c r="T9" s="5" t="s">
        <v>38</v>
      </c>
      <c r="U9" s="5" t="s">
        <v>600</v>
      </c>
      <c r="V9" s="5" t="s">
        <v>600</v>
      </c>
      <c r="W9" s="5" t="s">
        <v>600</v>
      </c>
      <c r="X9" s="162" t="s">
        <v>39</v>
      </c>
      <c r="Y9" s="162" t="s">
        <v>68</v>
      </c>
      <c r="Z9" s="162" t="s">
        <v>86</v>
      </c>
      <c r="AA9" s="162" t="s">
        <v>48</v>
      </c>
      <c r="AB9" s="162" t="s">
        <v>313</v>
      </c>
    </row>
    <row r="10" spans="3:28" x14ac:dyDescent="0.15">
      <c r="C10" s="163"/>
      <c r="D10" s="166"/>
      <c r="E10" s="169"/>
      <c r="F10" s="169"/>
      <c r="G10" s="166"/>
      <c r="H10" s="166"/>
      <c r="I10" s="166"/>
      <c r="J10" s="9" t="s">
        <v>50</v>
      </c>
      <c r="K10" s="166"/>
      <c r="L10" s="5" t="s">
        <v>36</v>
      </c>
      <c r="M10" s="5" t="s">
        <v>40</v>
      </c>
      <c r="N10" s="5" t="s">
        <v>41</v>
      </c>
      <c r="O10" s="5" t="s">
        <v>42</v>
      </c>
      <c r="P10" s="5" t="s">
        <v>43</v>
      </c>
      <c r="Q10" s="5" t="s">
        <v>44</v>
      </c>
      <c r="R10" s="5" t="s">
        <v>45</v>
      </c>
      <c r="S10" s="5" t="s">
        <v>46</v>
      </c>
      <c r="T10" s="5" t="s">
        <v>47</v>
      </c>
      <c r="U10" s="5" t="s">
        <v>23</v>
      </c>
      <c r="V10" s="5" t="s">
        <v>24</v>
      </c>
      <c r="W10" s="5" t="s">
        <v>25</v>
      </c>
      <c r="X10" s="163"/>
      <c r="Y10" s="163"/>
      <c r="Z10" s="163"/>
      <c r="AA10" s="163"/>
      <c r="AB10" s="163"/>
    </row>
    <row r="11" spans="3:28" x14ac:dyDescent="0.15">
      <c r="C11" s="164"/>
      <c r="D11" s="167"/>
      <c r="E11" s="170"/>
      <c r="F11" s="170"/>
      <c r="G11" s="167"/>
      <c r="H11" s="167"/>
      <c r="I11" s="167"/>
      <c r="J11" s="10" t="s">
        <v>51</v>
      </c>
      <c r="K11" s="167"/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5" t="s">
        <v>37</v>
      </c>
      <c r="W11" s="5" t="s">
        <v>37</v>
      </c>
      <c r="X11" s="164"/>
      <c r="Y11" s="164"/>
      <c r="Z11" s="164"/>
      <c r="AA11" s="164"/>
      <c r="AB11" s="164"/>
    </row>
    <row r="12" spans="3:28" ht="36.6" customHeight="1" x14ac:dyDescent="0.15">
      <c r="C12" s="6"/>
      <c r="D12" s="6"/>
      <c r="E12" s="6"/>
      <c r="F12" s="6"/>
      <c r="G12" s="6"/>
      <c r="H12" s="6"/>
      <c r="I12" s="375" t="s">
        <v>26</v>
      </c>
      <c r="J12" s="375" t="s">
        <v>52</v>
      </c>
      <c r="K12" s="375" t="s">
        <v>27</v>
      </c>
      <c r="L12" s="375" t="s">
        <v>53</v>
      </c>
      <c r="M12" s="375" t="s">
        <v>54</v>
      </c>
      <c r="N12" s="375" t="s">
        <v>55</v>
      </c>
      <c r="O12" s="375" t="s">
        <v>56</v>
      </c>
      <c r="P12" s="375" t="s">
        <v>57</v>
      </c>
      <c r="Q12" s="375" t="s">
        <v>58</v>
      </c>
      <c r="R12" s="375" t="s">
        <v>59</v>
      </c>
      <c r="S12" s="375" t="s">
        <v>60</v>
      </c>
      <c r="T12" s="375" t="s">
        <v>61</v>
      </c>
      <c r="U12" s="375" t="s">
        <v>62</v>
      </c>
      <c r="V12" s="375" t="s">
        <v>63</v>
      </c>
      <c r="W12" s="375" t="s">
        <v>64</v>
      </c>
      <c r="X12" s="376" t="s">
        <v>65</v>
      </c>
      <c r="Y12" s="377" t="s">
        <v>66</v>
      </c>
      <c r="Z12" s="399" t="s">
        <v>69</v>
      </c>
      <c r="AA12" s="377" t="s">
        <v>70</v>
      </c>
      <c r="AB12" s="377" t="s">
        <v>312</v>
      </c>
    </row>
    <row r="13" spans="3:28" ht="1.9" customHeight="1" thickBot="1" x14ac:dyDescent="0.2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6"/>
      <c r="Z13" s="6"/>
      <c r="AA13" s="7"/>
      <c r="AB13" s="7"/>
    </row>
    <row r="14" spans="3:28" ht="19.899999999999999" customHeight="1" thickBot="1" x14ac:dyDescent="0.2">
      <c r="C14" s="14" t="s">
        <v>28</v>
      </c>
      <c r="D14" s="15" t="s">
        <v>75</v>
      </c>
      <c r="E14" s="16" t="s">
        <v>29</v>
      </c>
      <c r="F14" s="17" t="s">
        <v>76</v>
      </c>
      <c r="G14" s="17"/>
      <c r="H14" s="17"/>
      <c r="I14" s="400">
        <f>①当期実績予想売上高!I14</f>
        <v>0</v>
      </c>
      <c r="J14" s="400">
        <f>①当期実績予想売上高!O14</f>
        <v>700</v>
      </c>
      <c r="K14" s="409">
        <v>860</v>
      </c>
      <c r="L14" s="409">
        <v>30</v>
      </c>
      <c r="M14" s="409">
        <v>40</v>
      </c>
      <c r="N14" s="409">
        <v>50</v>
      </c>
      <c r="O14" s="409">
        <v>70</v>
      </c>
      <c r="P14" s="409">
        <v>80</v>
      </c>
      <c r="Q14" s="409">
        <v>80</v>
      </c>
      <c r="R14" s="409">
        <v>80</v>
      </c>
      <c r="S14" s="409">
        <v>80</v>
      </c>
      <c r="T14" s="409">
        <v>100</v>
      </c>
      <c r="U14" s="409">
        <v>100</v>
      </c>
      <c r="V14" s="409">
        <v>50</v>
      </c>
      <c r="W14" s="410">
        <v>100</v>
      </c>
      <c r="X14" s="401">
        <f>SUM(L14:W14)</f>
        <v>860</v>
      </c>
      <c r="Y14" s="402">
        <f>IF(K14="","",+X14-K14)</f>
        <v>0</v>
      </c>
      <c r="Z14" s="403">
        <f>IF(OR(K14="",X14=""),"",ROUND(X14/K14,3))</f>
        <v>1</v>
      </c>
      <c r="AA14" s="401">
        <f>+X14-J14</f>
        <v>160</v>
      </c>
      <c r="AB14" s="404">
        <f>IF(OR(J14="",AA14=""),"",ROUND(AA14/J14,2))</f>
        <v>0.23</v>
      </c>
    </row>
    <row r="15" spans="3:28" ht="22.9" customHeight="1" thickBot="1" x14ac:dyDescent="0.2">
      <c r="C15" s="18" t="s">
        <v>30</v>
      </c>
      <c r="D15" s="15" t="s">
        <v>87</v>
      </c>
      <c r="E15" s="16" t="s">
        <v>77</v>
      </c>
      <c r="F15" s="17" t="s">
        <v>78</v>
      </c>
      <c r="G15" s="17"/>
      <c r="H15" s="17"/>
      <c r="I15" s="400" t="str">
        <f>①当期実績予想売上高!I15</f>
        <v/>
      </c>
      <c r="J15" s="400">
        <f>①当期実績予想売上高!O15</f>
        <v>100</v>
      </c>
      <c r="K15" s="409">
        <v>90</v>
      </c>
      <c r="L15" s="409">
        <v>90</v>
      </c>
      <c r="M15" s="409">
        <v>90</v>
      </c>
      <c r="N15" s="409">
        <v>90</v>
      </c>
      <c r="O15" s="409">
        <v>90</v>
      </c>
      <c r="P15" s="409">
        <v>90</v>
      </c>
      <c r="Q15" s="409">
        <v>90</v>
      </c>
      <c r="R15" s="409">
        <v>90</v>
      </c>
      <c r="S15" s="409">
        <v>90</v>
      </c>
      <c r="T15" s="409">
        <v>90</v>
      </c>
      <c r="U15" s="409">
        <v>90</v>
      </c>
      <c r="V15" s="409">
        <v>90</v>
      </c>
      <c r="W15" s="409">
        <v>90</v>
      </c>
      <c r="X15" s="400">
        <f>IF(OR(X14="",X14=0),"",ROUND(X17/X14,0))</f>
        <v>90</v>
      </c>
      <c r="Y15" s="402">
        <f>IF(K15="","",+X15-K15)</f>
        <v>0</v>
      </c>
      <c r="Z15" s="403">
        <f>IF(OR(K15="",X15=""),"",ROUND(X15/K15,3))</f>
        <v>1</v>
      </c>
      <c r="AA15" s="401">
        <f>+X15-J15</f>
        <v>-10</v>
      </c>
      <c r="AB15" s="404">
        <f>IF(OR(J15="",AA15=""),"",ROUND(AA15/J15,2))</f>
        <v>-0.1</v>
      </c>
    </row>
    <row r="16" spans="3:28" ht="15" thickBot="1" x14ac:dyDescent="0.2">
      <c r="C16" s="19" t="s">
        <v>31</v>
      </c>
      <c r="D16" s="20" t="s">
        <v>32</v>
      </c>
      <c r="E16" s="17" t="s">
        <v>77</v>
      </c>
      <c r="F16" s="17" t="s">
        <v>78</v>
      </c>
      <c r="G16" s="17"/>
      <c r="H16" s="1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411"/>
      <c r="V16" s="411"/>
      <c r="W16" s="411"/>
      <c r="X16" s="21"/>
      <c r="Y16" s="21"/>
      <c r="Z16" s="21"/>
      <c r="AA16" s="22"/>
      <c r="AB16" s="21"/>
    </row>
    <row r="17" spans="3:28" ht="29.25" thickBot="1" x14ac:dyDescent="0.2">
      <c r="C17" s="18" t="s">
        <v>33</v>
      </c>
      <c r="D17" s="23" t="s">
        <v>79</v>
      </c>
      <c r="E17" s="16" t="s">
        <v>77</v>
      </c>
      <c r="F17" s="17" t="s">
        <v>78</v>
      </c>
      <c r="G17" s="17" t="s">
        <v>80</v>
      </c>
      <c r="H17" s="24" t="s">
        <v>19</v>
      </c>
      <c r="I17" s="400">
        <f>①当期実績予想売上高!I17</f>
        <v>0</v>
      </c>
      <c r="J17" s="400">
        <f>①当期実績予想売上高!O17</f>
        <v>70000</v>
      </c>
      <c r="K17" s="400">
        <f>ROUND(K14*K15,0)+K16</f>
        <v>77400</v>
      </c>
      <c r="L17" s="400">
        <f>ROUND(L14*L15,0)+L16</f>
        <v>2700</v>
      </c>
      <c r="M17" s="400">
        <f t="shared" ref="M17:T17" si="0">ROUND(M14*M15,0)+M16</f>
        <v>3600</v>
      </c>
      <c r="N17" s="400">
        <f t="shared" si="0"/>
        <v>4500</v>
      </c>
      <c r="O17" s="400">
        <f t="shared" si="0"/>
        <v>6300</v>
      </c>
      <c r="P17" s="400">
        <f t="shared" si="0"/>
        <v>7200</v>
      </c>
      <c r="Q17" s="400">
        <f t="shared" si="0"/>
        <v>7200</v>
      </c>
      <c r="R17" s="400">
        <f t="shared" si="0"/>
        <v>7200</v>
      </c>
      <c r="S17" s="400">
        <f t="shared" si="0"/>
        <v>7200</v>
      </c>
      <c r="T17" s="400">
        <f t="shared" si="0"/>
        <v>9000</v>
      </c>
      <c r="U17" s="400">
        <f>IF(OR(U14="",U15=""),"",ROUND(U14*U15,0)+U16)</f>
        <v>9000</v>
      </c>
      <c r="V17" s="400">
        <f>IF(OR(V14="",V15=""),"",ROUND(V14*V15,0)+V16)</f>
        <v>4500</v>
      </c>
      <c r="W17" s="400">
        <f>IF(OR(W14="",W15=""),"",ROUND(W14*W15,0)+W16)</f>
        <v>9000</v>
      </c>
      <c r="X17" s="401">
        <f>SUM(L17:W17)</f>
        <v>77400</v>
      </c>
      <c r="Y17" s="402">
        <f>IF(K17="","",+X17-K17)</f>
        <v>0</v>
      </c>
      <c r="Z17" s="403">
        <f>IF(OR(K17="",X17=""),"",ROUND(X17/K17,3))</f>
        <v>1</v>
      </c>
      <c r="AA17" s="401">
        <f>+X17-J17</f>
        <v>7400</v>
      </c>
      <c r="AB17" s="404">
        <f>IF(OR(J17="",AA17=""),"",ROUND(AA17/J17,2))</f>
        <v>0.11</v>
      </c>
    </row>
    <row r="18" spans="3:28" ht="14.25" x14ac:dyDescent="0.15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3:28" ht="24" x14ac:dyDescent="0.15">
      <c r="C19" s="155" t="s">
        <v>578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</row>
    <row r="20" spans="3:28" ht="1.9" customHeight="1" thickBot="1" x14ac:dyDescent="0.2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3:28" ht="27.75" thickBot="1" x14ac:dyDescent="0.2">
      <c r="C21" s="25"/>
      <c r="D21" s="26" t="s">
        <v>0</v>
      </c>
      <c r="E21" s="412" t="s">
        <v>81</v>
      </c>
      <c r="F21" s="266"/>
      <c r="G21" s="266"/>
      <c r="H21" s="267"/>
      <c r="I21" s="268"/>
      <c r="J21" s="27"/>
      <c r="K21" s="27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153" t="s">
        <v>2</v>
      </c>
      <c r="X21" s="154"/>
      <c r="Y21" s="13" t="s">
        <v>72</v>
      </c>
      <c r="Z21" s="13" t="s">
        <v>73</v>
      </c>
      <c r="AA21" s="13" t="s">
        <v>74</v>
      </c>
      <c r="AB21" s="25"/>
    </row>
    <row r="22" spans="3:28" ht="15" thickBot="1" x14ac:dyDescent="0.2">
      <c r="C22" s="25"/>
      <c r="D22" s="26" t="s">
        <v>82</v>
      </c>
      <c r="E22" s="412" t="s">
        <v>83</v>
      </c>
      <c r="F22" s="266"/>
      <c r="G22" s="266"/>
      <c r="H22" s="267"/>
      <c r="I22" s="268"/>
      <c r="J22" s="27"/>
      <c r="K22" s="2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153" t="s">
        <v>5</v>
      </c>
      <c r="X22" s="154"/>
      <c r="Y22" s="3" t="s">
        <v>6</v>
      </c>
      <c r="Z22" s="3" t="s">
        <v>7</v>
      </c>
      <c r="AA22" s="3" t="s">
        <v>0</v>
      </c>
      <c r="AB22" s="25"/>
    </row>
    <row r="23" spans="3:28" ht="15" thickBot="1" x14ac:dyDescent="0.2">
      <c r="C23" s="25"/>
      <c r="D23" s="28" t="s">
        <v>84</v>
      </c>
      <c r="E23" s="272" t="s">
        <v>35</v>
      </c>
      <c r="F23" s="272"/>
      <c r="G23" s="272"/>
      <c r="H23" s="272"/>
      <c r="I23" s="272"/>
      <c r="J23" s="2"/>
      <c r="K23" s="2" t="s">
        <v>311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153" t="s">
        <v>8</v>
      </c>
      <c r="X23" s="154"/>
      <c r="Y23" s="3" t="s">
        <v>9</v>
      </c>
      <c r="Z23" s="3" t="s">
        <v>9</v>
      </c>
      <c r="AA23" s="398" t="str">
        <f>+E21</f>
        <v>鈴木一也</v>
      </c>
      <c r="AB23" s="25"/>
    </row>
    <row r="24" spans="3:28" ht="15" thickBot="1" x14ac:dyDescent="0.2">
      <c r="C24" s="25"/>
      <c r="D24" s="269" t="s">
        <v>85</v>
      </c>
      <c r="E24" s="270"/>
      <c r="F24" s="270"/>
      <c r="G24" s="270"/>
      <c r="H24" s="270"/>
      <c r="I24" s="271"/>
      <c r="J24" s="2"/>
      <c r="K24" s="2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153" t="s">
        <v>11</v>
      </c>
      <c r="X24" s="154"/>
      <c r="Y24" s="3" t="s">
        <v>12</v>
      </c>
      <c r="Z24" s="3" t="s">
        <v>13</v>
      </c>
      <c r="AA24" s="30" t="s">
        <v>12</v>
      </c>
      <c r="AB24" s="25"/>
    </row>
    <row r="25" spans="3:28" ht="7.15" customHeight="1" x14ac:dyDescent="0.15">
      <c r="C25" s="25"/>
      <c r="D25" s="25"/>
      <c r="E25" s="25"/>
      <c r="F25" s="25"/>
      <c r="G25" s="25"/>
      <c r="H25" s="25"/>
      <c r="I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3:28" ht="14.45" customHeight="1" x14ac:dyDescent="0.15">
      <c r="C26" s="162" t="s">
        <v>14</v>
      </c>
      <c r="D26" s="165" t="s">
        <v>15</v>
      </c>
      <c r="E26" s="168" t="s">
        <v>16</v>
      </c>
      <c r="F26" s="168" t="s">
        <v>17</v>
      </c>
      <c r="G26" s="162" t="s">
        <v>18</v>
      </c>
      <c r="H26" s="162" t="s">
        <v>19</v>
      </c>
      <c r="I26" s="162" t="s">
        <v>20</v>
      </c>
      <c r="J26" s="8" t="s">
        <v>49</v>
      </c>
      <c r="K26" s="162" t="s">
        <v>67</v>
      </c>
      <c r="L26" s="5" t="s">
        <v>38</v>
      </c>
      <c r="M26" s="5" t="s">
        <v>38</v>
      </c>
      <c r="N26" s="5" t="s">
        <v>38</v>
      </c>
      <c r="O26" s="5" t="s">
        <v>38</v>
      </c>
      <c r="P26" s="5" t="s">
        <v>38</v>
      </c>
      <c r="Q26" s="5" t="s">
        <v>38</v>
      </c>
      <c r="R26" s="5" t="s">
        <v>38</v>
      </c>
      <c r="S26" s="5" t="s">
        <v>38</v>
      </c>
      <c r="T26" s="5" t="s">
        <v>38</v>
      </c>
      <c r="U26" s="5" t="s">
        <v>600</v>
      </c>
      <c r="V26" s="5" t="s">
        <v>600</v>
      </c>
      <c r="W26" s="5" t="s">
        <v>600</v>
      </c>
      <c r="X26" s="162" t="s">
        <v>39</v>
      </c>
      <c r="Y26" s="162" t="s">
        <v>68</v>
      </c>
      <c r="Z26" s="162" t="s">
        <v>86</v>
      </c>
      <c r="AA26" s="162" t="s">
        <v>48</v>
      </c>
      <c r="AB26" s="162" t="s">
        <v>22</v>
      </c>
    </row>
    <row r="27" spans="3:28" x14ac:dyDescent="0.15">
      <c r="C27" s="163"/>
      <c r="D27" s="166"/>
      <c r="E27" s="169"/>
      <c r="F27" s="169"/>
      <c r="G27" s="166"/>
      <c r="H27" s="166"/>
      <c r="I27" s="166"/>
      <c r="J27" s="9" t="s">
        <v>50</v>
      </c>
      <c r="K27" s="166"/>
      <c r="L27" s="5" t="s">
        <v>36</v>
      </c>
      <c r="M27" s="5" t="s">
        <v>40</v>
      </c>
      <c r="N27" s="5" t="s">
        <v>41</v>
      </c>
      <c r="O27" s="5" t="s">
        <v>42</v>
      </c>
      <c r="P27" s="5" t="s">
        <v>43</v>
      </c>
      <c r="Q27" s="5" t="s">
        <v>44</v>
      </c>
      <c r="R27" s="5" t="s">
        <v>45</v>
      </c>
      <c r="S27" s="5" t="s">
        <v>46</v>
      </c>
      <c r="T27" s="5" t="s">
        <v>47</v>
      </c>
      <c r="U27" s="5" t="s">
        <v>23</v>
      </c>
      <c r="V27" s="5" t="s">
        <v>24</v>
      </c>
      <c r="W27" s="5" t="s">
        <v>25</v>
      </c>
      <c r="X27" s="163"/>
      <c r="Y27" s="163"/>
      <c r="Z27" s="163"/>
      <c r="AA27" s="163"/>
      <c r="AB27" s="163"/>
    </row>
    <row r="28" spans="3:28" x14ac:dyDescent="0.15">
      <c r="C28" s="164"/>
      <c r="D28" s="167"/>
      <c r="E28" s="170"/>
      <c r="F28" s="170"/>
      <c r="G28" s="167"/>
      <c r="H28" s="167"/>
      <c r="I28" s="167"/>
      <c r="J28" s="10" t="s">
        <v>51</v>
      </c>
      <c r="K28" s="167"/>
      <c r="L28" s="5" t="s">
        <v>37</v>
      </c>
      <c r="M28" s="5" t="s">
        <v>37</v>
      </c>
      <c r="N28" s="5" t="s">
        <v>37</v>
      </c>
      <c r="O28" s="5" t="s">
        <v>37</v>
      </c>
      <c r="P28" s="5" t="s">
        <v>37</v>
      </c>
      <c r="Q28" s="5" t="s">
        <v>37</v>
      </c>
      <c r="R28" s="5" t="s">
        <v>37</v>
      </c>
      <c r="S28" s="5" t="s">
        <v>37</v>
      </c>
      <c r="T28" s="5" t="s">
        <v>37</v>
      </c>
      <c r="U28" s="5" t="s">
        <v>37</v>
      </c>
      <c r="V28" s="5" t="s">
        <v>37</v>
      </c>
      <c r="W28" s="5" t="s">
        <v>37</v>
      </c>
      <c r="X28" s="164"/>
      <c r="Y28" s="164"/>
      <c r="Z28" s="164"/>
      <c r="AA28" s="164"/>
      <c r="AB28" s="164"/>
    </row>
    <row r="29" spans="3:28" ht="27" customHeight="1" x14ac:dyDescent="0.15">
      <c r="C29" s="6"/>
      <c r="D29" s="6"/>
      <c r="E29" s="6"/>
      <c r="F29" s="6"/>
      <c r="G29" s="6"/>
      <c r="H29" s="6"/>
      <c r="I29" s="375" t="s">
        <v>26</v>
      </c>
      <c r="J29" s="375" t="s">
        <v>52</v>
      </c>
      <c r="K29" s="375" t="s">
        <v>27</v>
      </c>
      <c r="L29" s="375" t="s">
        <v>53</v>
      </c>
      <c r="M29" s="375" t="s">
        <v>54</v>
      </c>
      <c r="N29" s="375" t="s">
        <v>55</v>
      </c>
      <c r="O29" s="375" t="s">
        <v>56</v>
      </c>
      <c r="P29" s="375" t="s">
        <v>57</v>
      </c>
      <c r="Q29" s="375" t="s">
        <v>58</v>
      </c>
      <c r="R29" s="375" t="s">
        <v>59</v>
      </c>
      <c r="S29" s="375" t="s">
        <v>60</v>
      </c>
      <c r="T29" s="375" t="s">
        <v>61</v>
      </c>
      <c r="U29" s="375" t="s">
        <v>62</v>
      </c>
      <c r="V29" s="375" t="s">
        <v>63</v>
      </c>
      <c r="W29" s="375" t="s">
        <v>64</v>
      </c>
      <c r="X29" s="376" t="s">
        <v>65</v>
      </c>
      <c r="Y29" s="377" t="s">
        <v>66</v>
      </c>
      <c r="Z29" s="399" t="s">
        <v>69</v>
      </c>
      <c r="AA29" s="377" t="s">
        <v>70</v>
      </c>
      <c r="AB29" s="377" t="s">
        <v>71</v>
      </c>
    </row>
    <row r="30" spans="3:28" ht="1.9" customHeight="1" thickBot="1" x14ac:dyDescent="0.2"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7"/>
      <c r="Y30" s="6"/>
      <c r="Z30" s="6"/>
      <c r="AA30" s="7"/>
      <c r="AB30" s="7"/>
    </row>
    <row r="31" spans="3:28" ht="19.149999999999999" customHeight="1" thickBot="1" x14ac:dyDescent="0.2">
      <c r="C31" s="14" t="s">
        <v>28</v>
      </c>
      <c r="D31" s="15" t="s">
        <v>75</v>
      </c>
      <c r="E31" s="16" t="s">
        <v>29</v>
      </c>
      <c r="F31" s="17" t="s">
        <v>76</v>
      </c>
      <c r="G31" s="17"/>
      <c r="H31" s="17"/>
      <c r="I31" s="400">
        <f>①当期実績予想売上高!I31</f>
        <v>0</v>
      </c>
      <c r="J31" s="400">
        <f>①当期実績予想売上高!O31</f>
        <v>300</v>
      </c>
      <c r="K31" s="409">
        <v>400</v>
      </c>
      <c r="L31" s="409">
        <v>20</v>
      </c>
      <c r="M31" s="409">
        <v>20</v>
      </c>
      <c r="N31" s="409">
        <v>20</v>
      </c>
      <c r="O31" s="409">
        <v>30</v>
      </c>
      <c r="P31" s="409">
        <v>30</v>
      </c>
      <c r="Q31" s="409">
        <v>30</v>
      </c>
      <c r="R31" s="409">
        <v>30</v>
      </c>
      <c r="S31" s="409">
        <v>30</v>
      </c>
      <c r="T31" s="409">
        <v>40</v>
      </c>
      <c r="U31" s="409">
        <v>50</v>
      </c>
      <c r="V31" s="409">
        <v>50</v>
      </c>
      <c r="W31" s="409">
        <v>50</v>
      </c>
      <c r="X31" s="401">
        <f>SUM(L31:W31)</f>
        <v>400</v>
      </c>
      <c r="Y31" s="402">
        <f>IF(K31="","",+X31-K31)</f>
        <v>0</v>
      </c>
      <c r="Z31" s="403">
        <f>IF(OR(K31="",X31=""),"",ROUND(X31/K31,3))</f>
        <v>1</v>
      </c>
      <c r="AA31" s="401">
        <f>+X31-J31</f>
        <v>100</v>
      </c>
      <c r="AB31" s="404">
        <f>IF(OR(J31="",AA31=""),"",ROUND(AA31/J31,2))</f>
        <v>0.33</v>
      </c>
    </row>
    <row r="32" spans="3:28" ht="19.899999999999999" customHeight="1" thickBot="1" x14ac:dyDescent="0.2">
      <c r="C32" s="18" t="s">
        <v>30</v>
      </c>
      <c r="D32" s="15" t="s">
        <v>87</v>
      </c>
      <c r="E32" s="16" t="s">
        <v>77</v>
      </c>
      <c r="F32" s="17" t="s">
        <v>78</v>
      </c>
      <c r="G32" s="17"/>
      <c r="H32" s="17"/>
      <c r="I32" s="400" t="str">
        <f>①当期実績予想売上高!I32</f>
        <v/>
      </c>
      <c r="J32" s="400">
        <f>①当期実績予想売上高!O32</f>
        <v>100</v>
      </c>
      <c r="K32" s="409">
        <v>90</v>
      </c>
      <c r="L32" s="409">
        <v>90</v>
      </c>
      <c r="M32" s="409">
        <v>90</v>
      </c>
      <c r="N32" s="409">
        <v>90</v>
      </c>
      <c r="O32" s="409">
        <v>90</v>
      </c>
      <c r="P32" s="409">
        <v>90</v>
      </c>
      <c r="Q32" s="409">
        <v>90</v>
      </c>
      <c r="R32" s="409">
        <v>90</v>
      </c>
      <c r="S32" s="409">
        <v>90</v>
      </c>
      <c r="T32" s="409">
        <v>90</v>
      </c>
      <c r="U32" s="409">
        <v>90</v>
      </c>
      <c r="V32" s="409">
        <v>90</v>
      </c>
      <c r="W32" s="409">
        <v>90</v>
      </c>
      <c r="X32" s="400">
        <f>IF(OR(X31="",X31=0),"",ROUND(X34/X31,0))</f>
        <v>90</v>
      </c>
      <c r="Y32" s="402">
        <f>IF(K32="","",+X32-K32)</f>
        <v>0</v>
      </c>
      <c r="Z32" s="403">
        <f>IF(OR(K32="",X32=""),"",ROUND(X32/K32,3))</f>
        <v>1</v>
      </c>
      <c r="AA32" s="401">
        <f>+X32-J32</f>
        <v>-10</v>
      </c>
      <c r="AB32" s="404">
        <f>IF(OR(J32="",AA32=""),"",ROUND(AA32/J32,2))</f>
        <v>-0.1</v>
      </c>
    </row>
    <row r="33" spans="3:28" ht="15" thickBot="1" x14ac:dyDescent="0.2">
      <c r="C33" s="19" t="s">
        <v>31</v>
      </c>
      <c r="D33" s="20" t="s">
        <v>32</v>
      </c>
      <c r="E33" s="17" t="s">
        <v>77</v>
      </c>
      <c r="F33" s="17" t="s">
        <v>78</v>
      </c>
      <c r="G33" s="17"/>
      <c r="H33" s="1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11"/>
      <c r="V33" s="411"/>
      <c r="W33" s="411"/>
      <c r="X33" s="21"/>
      <c r="Y33" s="21"/>
      <c r="Z33" s="21"/>
      <c r="AA33" s="22"/>
      <c r="AB33" s="21"/>
    </row>
    <row r="34" spans="3:28" ht="29.25" thickBot="1" x14ac:dyDescent="0.2">
      <c r="C34" s="18" t="s">
        <v>33</v>
      </c>
      <c r="D34" s="23" t="s">
        <v>79</v>
      </c>
      <c r="E34" s="16" t="s">
        <v>77</v>
      </c>
      <c r="F34" s="17" t="s">
        <v>78</v>
      </c>
      <c r="G34" s="17" t="s">
        <v>80</v>
      </c>
      <c r="H34" s="24" t="s">
        <v>19</v>
      </c>
      <c r="I34" s="400">
        <f>①当期実績予想売上高!I34</f>
        <v>0</v>
      </c>
      <c r="J34" s="400">
        <f>①当期実績予想売上高!O34</f>
        <v>30000</v>
      </c>
      <c r="K34" s="400">
        <f>ROUND(K31*K32,0)+K33</f>
        <v>36000</v>
      </c>
      <c r="L34" s="400">
        <f>ROUND(L31*L32,0)+L33</f>
        <v>1800</v>
      </c>
      <c r="M34" s="400">
        <f t="shared" ref="M34" si="1">ROUND(M31*M32,0)+M33</f>
        <v>1800</v>
      </c>
      <c r="N34" s="400">
        <f t="shared" ref="N34" si="2">ROUND(N31*N32,0)+N33</f>
        <v>1800</v>
      </c>
      <c r="O34" s="400">
        <f t="shared" ref="O34" si="3">ROUND(O31*O32,0)+O33</f>
        <v>2700</v>
      </c>
      <c r="P34" s="400">
        <f t="shared" ref="P34" si="4">ROUND(P31*P32,0)+P33</f>
        <v>2700</v>
      </c>
      <c r="Q34" s="400">
        <f t="shared" ref="Q34" si="5">ROUND(Q31*Q32,0)+Q33</f>
        <v>2700</v>
      </c>
      <c r="R34" s="400">
        <f t="shared" ref="R34" si="6">ROUND(R31*R32,0)+R33</f>
        <v>2700</v>
      </c>
      <c r="S34" s="400">
        <f t="shared" ref="S34" si="7">ROUND(S31*S32,0)+S33</f>
        <v>2700</v>
      </c>
      <c r="T34" s="400">
        <f t="shared" ref="T34" si="8">ROUND(T31*T32,0)+T33</f>
        <v>3600</v>
      </c>
      <c r="U34" s="400">
        <f>IF(OR(U31="",U32=""),"",ROUND(U31*U32,0)+U33)</f>
        <v>4500</v>
      </c>
      <c r="V34" s="400">
        <f>IF(OR(V31="",V32=""),"",ROUND(V31*V32,0)+V33)</f>
        <v>4500</v>
      </c>
      <c r="W34" s="400">
        <f>IF(OR(W31="",W32=""),"",ROUND(W31*W32,0)+W33)</f>
        <v>4500</v>
      </c>
      <c r="X34" s="401">
        <f>SUM(L34:W34)</f>
        <v>36000</v>
      </c>
      <c r="Y34" s="402">
        <f>IF(K34="","",+X34-K34)</f>
        <v>0</v>
      </c>
      <c r="Z34" s="403">
        <f>IF(OR(K34="",X34=""),"",ROUND(X34/K34,3))</f>
        <v>1</v>
      </c>
      <c r="AA34" s="401">
        <f>+X34-J34</f>
        <v>6000</v>
      </c>
      <c r="AB34" s="404">
        <f>IF(OR(J34="",AA34=""),"",ROUND(AA34/J34,2))</f>
        <v>0.2</v>
      </c>
    </row>
    <row r="35" spans="3:28" ht="14.25" x14ac:dyDescent="0.1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3:28" ht="21" x14ac:dyDescent="0.15">
      <c r="C36" s="273" t="s">
        <v>96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</row>
    <row r="37" spans="3:28" ht="3.6" customHeight="1" thickBot="1" x14ac:dyDescent="0.2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3:28" ht="27" customHeight="1" thickBot="1" x14ac:dyDescent="0.2">
      <c r="C38" s="25"/>
      <c r="D38" s="26" t="s">
        <v>0</v>
      </c>
      <c r="E38" s="413" t="s">
        <v>90</v>
      </c>
      <c r="F38" s="264"/>
      <c r="G38" s="264"/>
      <c r="H38" s="264"/>
      <c r="I38" s="264"/>
      <c r="J38" s="264"/>
      <c r="K38" s="264"/>
      <c r="L38" s="26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53" t="s">
        <v>2</v>
      </c>
      <c r="X38" s="154"/>
      <c r="Y38" s="13" t="s">
        <v>93</v>
      </c>
      <c r="Z38" s="13" t="s">
        <v>94</v>
      </c>
      <c r="AA38" s="13" t="s">
        <v>95</v>
      </c>
      <c r="AB38" s="25"/>
    </row>
    <row r="39" spans="3:28" ht="15" thickBot="1" x14ac:dyDescent="0.2">
      <c r="C39" s="25"/>
      <c r="D39" s="26" t="s">
        <v>82</v>
      </c>
      <c r="E39" s="413" t="s">
        <v>91</v>
      </c>
      <c r="F39" s="264"/>
      <c r="G39" s="264"/>
      <c r="H39" s="264"/>
      <c r="I39" s="264"/>
      <c r="J39" s="264"/>
      <c r="K39" s="264"/>
      <c r="L39" s="26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153" t="s">
        <v>5</v>
      </c>
      <c r="X39" s="154"/>
      <c r="Y39" s="3" t="s">
        <v>6</v>
      </c>
      <c r="Z39" s="3" t="s">
        <v>7</v>
      </c>
      <c r="AA39" s="3" t="s">
        <v>0</v>
      </c>
      <c r="AB39" s="25"/>
    </row>
    <row r="40" spans="3:28" ht="15" thickBot="1" x14ac:dyDescent="0.2">
      <c r="C40" s="25"/>
      <c r="D40" s="28" t="s">
        <v>84</v>
      </c>
      <c r="E40" s="272" t="s">
        <v>35</v>
      </c>
      <c r="F40" s="272"/>
      <c r="G40" s="272"/>
      <c r="H40" s="272"/>
      <c r="I40" s="272"/>
      <c r="J40" s="29"/>
      <c r="K40" s="27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153" t="s">
        <v>8</v>
      </c>
      <c r="X40" s="154"/>
      <c r="Y40" s="3" t="s">
        <v>9</v>
      </c>
      <c r="Z40" s="3" t="s">
        <v>9</v>
      </c>
      <c r="AA40" s="398" t="s">
        <v>92</v>
      </c>
      <c r="AB40" s="25"/>
    </row>
    <row r="41" spans="3:28" ht="15" thickBot="1" x14ac:dyDescent="0.2">
      <c r="C41" s="25"/>
      <c r="D41" s="269" t="s">
        <v>85</v>
      </c>
      <c r="E41" s="270"/>
      <c r="F41" s="270"/>
      <c r="G41" s="270"/>
      <c r="H41" s="270"/>
      <c r="I41" s="271"/>
      <c r="J41" s="29"/>
      <c r="K41" s="27"/>
      <c r="L41" s="94" t="s">
        <v>317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153" t="s">
        <v>11</v>
      </c>
      <c r="X41" s="154"/>
      <c r="Y41" s="3" t="s">
        <v>12</v>
      </c>
      <c r="Z41" s="3" t="s">
        <v>13</v>
      </c>
      <c r="AA41" s="30" t="s">
        <v>12</v>
      </c>
      <c r="AB41" s="25"/>
    </row>
    <row r="42" spans="3:28" ht="4.1500000000000004" customHeight="1" thickBot="1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3:28" ht="14.45" customHeight="1" x14ac:dyDescent="0.15">
      <c r="C43" s="162" t="s">
        <v>14</v>
      </c>
      <c r="D43" s="165" t="s">
        <v>15</v>
      </c>
      <c r="E43" s="168" t="s">
        <v>16</v>
      </c>
      <c r="F43" s="168" t="s">
        <v>17</v>
      </c>
      <c r="G43" s="162" t="s">
        <v>18</v>
      </c>
      <c r="H43" s="162" t="s">
        <v>19</v>
      </c>
      <c r="I43" s="162" t="s">
        <v>314</v>
      </c>
      <c r="J43" s="8" t="s">
        <v>49</v>
      </c>
      <c r="K43" s="162" t="s">
        <v>316</v>
      </c>
      <c r="L43" s="5" t="s">
        <v>38</v>
      </c>
      <c r="M43" s="5" t="s">
        <v>38</v>
      </c>
      <c r="N43" s="5" t="s">
        <v>38</v>
      </c>
      <c r="O43" s="5" t="s">
        <v>38</v>
      </c>
      <c r="P43" s="5" t="s">
        <v>38</v>
      </c>
      <c r="Q43" s="5" t="s">
        <v>38</v>
      </c>
      <c r="R43" s="5" t="s">
        <v>38</v>
      </c>
      <c r="S43" s="5" t="s">
        <v>38</v>
      </c>
      <c r="T43" s="5" t="s">
        <v>38</v>
      </c>
      <c r="U43" s="5" t="s">
        <v>600</v>
      </c>
      <c r="V43" s="5" t="s">
        <v>600</v>
      </c>
      <c r="W43" s="5" t="s">
        <v>600</v>
      </c>
      <c r="X43" s="274" t="s">
        <v>39</v>
      </c>
      <c r="Y43" s="277" t="s">
        <v>68</v>
      </c>
      <c r="Z43" s="162" t="s">
        <v>86</v>
      </c>
      <c r="AA43" s="162" t="s">
        <v>48</v>
      </c>
      <c r="AB43" s="162" t="s">
        <v>22</v>
      </c>
    </row>
    <row r="44" spans="3:28" x14ac:dyDescent="0.15">
      <c r="C44" s="163"/>
      <c r="D44" s="166"/>
      <c r="E44" s="169"/>
      <c r="F44" s="169"/>
      <c r="G44" s="166"/>
      <c r="H44" s="166"/>
      <c r="I44" s="166"/>
      <c r="J44" s="9" t="s">
        <v>50</v>
      </c>
      <c r="K44" s="166"/>
      <c r="L44" s="5" t="s">
        <v>36</v>
      </c>
      <c r="M44" s="5" t="s">
        <v>40</v>
      </c>
      <c r="N44" s="5" t="s">
        <v>41</v>
      </c>
      <c r="O44" s="5" t="s">
        <v>42</v>
      </c>
      <c r="P44" s="5" t="s">
        <v>43</v>
      </c>
      <c r="Q44" s="5" t="s">
        <v>44</v>
      </c>
      <c r="R44" s="5" t="s">
        <v>45</v>
      </c>
      <c r="S44" s="5" t="s">
        <v>46</v>
      </c>
      <c r="T44" s="5" t="s">
        <v>47</v>
      </c>
      <c r="U44" s="5" t="s">
        <v>23</v>
      </c>
      <c r="V44" s="5" t="s">
        <v>24</v>
      </c>
      <c r="W44" s="31" t="s">
        <v>25</v>
      </c>
      <c r="X44" s="275"/>
      <c r="Y44" s="278"/>
      <c r="Z44" s="163"/>
      <c r="AA44" s="163"/>
      <c r="AB44" s="163"/>
    </row>
    <row r="45" spans="3:28" x14ac:dyDescent="0.15">
      <c r="C45" s="164"/>
      <c r="D45" s="167"/>
      <c r="E45" s="170"/>
      <c r="F45" s="170"/>
      <c r="G45" s="167"/>
      <c r="H45" s="167"/>
      <c r="I45" s="167"/>
      <c r="J45" s="35" t="s">
        <v>315</v>
      </c>
      <c r="K45" s="167"/>
      <c r="L45" s="5" t="s">
        <v>37</v>
      </c>
      <c r="M45" s="5" t="s">
        <v>37</v>
      </c>
      <c r="N45" s="5" t="s">
        <v>37</v>
      </c>
      <c r="O45" s="5" t="s">
        <v>37</v>
      </c>
      <c r="P45" s="5" t="s">
        <v>37</v>
      </c>
      <c r="Q45" s="5" t="s">
        <v>37</v>
      </c>
      <c r="R45" s="5" t="s">
        <v>37</v>
      </c>
      <c r="S45" s="5" t="s">
        <v>37</v>
      </c>
      <c r="T45" s="5" t="s">
        <v>37</v>
      </c>
      <c r="U45" s="5" t="s">
        <v>37</v>
      </c>
      <c r="V45" s="5" t="s">
        <v>37</v>
      </c>
      <c r="W45" s="31" t="s">
        <v>37</v>
      </c>
      <c r="X45" s="276"/>
      <c r="Y45" s="279"/>
      <c r="Z45" s="164"/>
      <c r="AA45" s="164"/>
      <c r="AB45" s="164"/>
    </row>
    <row r="46" spans="3:28" ht="30.6" customHeight="1" x14ac:dyDescent="0.15">
      <c r="C46" s="6"/>
      <c r="D46" s="6"/>
      <c r="E46" s="6"/>
      <c r="F46" s="6"/>
      <c r="G46" s="6"/>
      <c r="H46" s="6"/>
      <c r="I46" s="375" t="s">
        <v>26</v>
      </c>
      <c r="J46" s="375" t="s">
        <v>52</v>
      </c>
      <c r="K46" s="375" t="s">
        <v>27</v>
      </c>
      <c r="L46" s="375" t="s">
        <v>53</v>
      </c>
      <c r="M46" s="375" t="s">
        <v>54</v>
      </c>
      <c r="N46" s="375" t="s">
        <v>55</v>
      </c>
      <c r="O46" s="375" t="s">
        <v>56</v>
      </c>
      <c r="P46" s="375" t="s">
        <v>57</v>
      </c>
      <c r="Q46" s="375" t="s">
        <v>58</v>
      </c>
      <c r="R46" s="375" t="s">
        <v>59</v>
      </c>
      <c r="S46" s="375" t="s">
        <v>60</v>
      </c>
      <c r="T46" s="375" t="s">
        <v>61</v>
      </c>
      <c r="U46" s="375" t="s">
        <v>62</v>
      </c>
      <c r="V46" s="375" t="s">
        <v>63</v>
      </c>
      <c r="W46" s="405" t="s">
        <v>64</v>
      </c>
      <c r="X46" s="406" t="s">
        <v>65</v>
      </c>
      <c r="Y46" s="407" t="s">
        <v>66</v>
      </c>
      <c r="Z46" s="399" t="s">
        <v>69</v>
      </c>
      <c r="AA46" s="377" t="s">
        <v>70</v>
      </c>
      <c r="AB46" s="377" t="s">
        <v>71</v>
      </c>
    </row>
    <row r="47" spans="3:28" ht="4.1500000000000004" customHeight="1" thickBot="1" x14ac:dyDescent="0.2">
      <c r="C47" s="6"/>
      <c r="D47" s="7"/>
      <c r="E47" s="6"/>
      <c r="F47" s="6"/>
      <c r="G47" s="6"/>
      <c r="H47" s="6"/>
      <c r="I47" s="6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2"/>
      <c r="X47" s="34"/>
      <c r="Y47" s="33"/>
      <c r="Z47" s="6"/>
      <c r="AA47" s="7"/>
      <c r="AB47" s="7"/>
    </row>
    <row r="48" spans="3:28" ht="15" thickBot="1" x14ac:dyDescent="0.2">
      <c r="C48" s="14" t="s">
        <v>28</v>
      </c>
      <c r="D48" s="15" t="s">
        <v>88</v>
      </c>
      <c r="E48" s="16" t="s">
        <v>29</v>
      </c>
      <c r="F48" s="17" t="s">
        <v>76</v>
      </c>
      <c r="G48" s="17"/>
      <c r="H48" s="17"/>
      <c r="I48" s="400">
        <f>+I14+I31</f>
        <v>0</v>
      </c>
      <c r="J48" s="408">
        <f>+J14+J31</f>
        <v>1000</v>
      </c>
      <c r="K48" s="92">
        <f>②予算編成方針売上高!U90</f>
        <v>1260</v>
      </c>
      <c r="L48" s="402">
        <f t="shared" ref="L48:W48" si="9">+L14+L31</f>
        <v>50</v>
      </c>
      <c r="M48" s="400">
        <f t="shared" si="9"/>
        <v>60</v>
      </c>
      <c r="N48" s="400">
        <f t="shared" si="9"/>
        <v>70</v>
      </c>
      <c r="O48" s="400">
        <f t="shared" si="9"/>
        <v>100</v>
      </c>
      <c r="P48" s="400">
        <f t="shared" si="9"/>
        <v>110</v>
      </c>
      <c r="Q48" s="400">
        <f t="shared" si="9"/>
        <v>110</v>
      </c>
      <c r="R48" s="400">
        <f t="shared" si="9"/>
        <v>110</v>
      </c>
      <c r="S48" s="400">
        <f t="shared" si="9"/>
        <v>110</v>
      </c>
      <c r="T48" s="400">
        <f t="shared" si="9"/>
        <v>140</v>
      </c>
      <c r="U48" s="400">
        <f t="shared" si="9"/>
        <v>150</v>
      </c>
      <c r="V48" s="400">
        <f t="shared" si="9"/>
        <v>100</v>
      </c>
      <c r="W48" s="408">
        <f t="shared" si="9"/>
        <v>150</v>
      </c>
      <c r="X48" s="93">
        <f>SUM(L48:W48)</f>
        <v>1260</v>
      </c>
      <c r="Y48" s="402">
        <f>IF(K48="","",+X48-K48)</f>
        <v>0</v>
      </c>
      <c r="Z48" s="403">
        <f>IF(OR(K48="",X48=""),"",ROUND(X48/K48,3))</f>
        <v>1</v>
      </c>
      <c r="AA48" s="401">
        <f>+X48-J48</f>
        <v>260</v>
      </c>
      <c r="AB48" s="404">
        <f>IF(OR(J48="",AA48=""),"",ROUND(AA48/J48,2))</f>
        <v>0.26</v>
      </c>
    </row>
    <row r="49" spans="3:28" ht="36" customHeight="1" thickBot="1" x14ac:dyDescent="0.2">
      <c r="C49" s="18" t="s">
        <v>33</v>
      </c>
      <c r="D49" s="23" t="s">
        <v>89</v>
      </c>
      <c r="E49" s="16" t="s">
        <v>77</v>
      </c>
      <c r="F49" s="17" t="s">
        <v>78</v>
      </c>
      <c r="G49" s="17" t="s">
        <v>80</v>
      </c>
      <c r="H49" s="24" t="s">
        <v>19</v>
      </c>
      <c r="I49" s="400">
        <f>+I17+I34</f>
        <v>0</v>
      </c>
      <c r="J49" s="408">
        <f>+J17+J34</f>
        <v>100000</v>
      </c>
      <c r="K49" s="92">
        <f>②予算編成方針売上高!K93</f>
        <v>113400</v>
      </c>
      <c r="L49" s="402">
        <f t="shared" ref="L49:W49" si="10">+L17+L34</f>
        <v>4500</v>
      </c>
      <c r="M49" s="400">
        <f t="shared" si="10"/>
        <v>5400</v>
      </c>
      <c r="N49" s="400">
        <f t="shared" si="10"/>
        <v>6300</v>
      </c>
      <c r="O49" s="400">
        <f t="shared" si="10"/>
        <v>9000</v>
      </c>
      <c r="P49" s="400">
        <f t="shared" si="10"/>
        <v>9900</v>
      </c>
      <c r="Q49" s="400">
        <f t="shared" si="10"/>
        <v>9900</v>
      </c>
      <c r="R49" s="400">
        <f t="shared" si="10"/>
        <v>9900</v>
      </c>
      <c r="S49" s="400">
        <f t="shared" si="10"/>
        <v>9900</v>
      </c>
      <c r="T49" s="400">
        <f t="shared" si="10"/>
        <v>12600</v>
      </c>
      <c r="U49" s="400">
        <f t="shared" si="10"/>
        <v>13500</v>
      </c>
      <c r="V49" s="400">
        <f t="shared" si="10"/>
        <v>9000</v>
      </c>
      <c r="W49" s="408">
        <f t="shared" si="10"/>
        <v>13500</v>
      </c>
      <c r="X49" s="93">
        <f>SUM(L49:W49)</f>
        <v>113400</v>
      </c>
      <c r="Y49" s="402">
        <f>IF(K49="","",+X49-K49)</f>
        <v>0</v>
      </c>
      <c r="Z49" s="403">
        <f>IF(OR(K49="",X49=""),"",ROUND(X49/K49,3))</f>
        <v>1</v>
      </c>
      <c r="AA49" s="401">
        <f>+X49-J49</f>
        <v>13400</v>
      </c>
      <c r="AB49" s="404">
        <f>IF(OR(J49="",AA49=""),"",ROUND(AA49/J49,2))</f>
        <v>0.13</v>
      </c>
    </row>
    <row r="50" spans="3:28" ht="13.9" customHeight="1" thickBot="1" x14ac:dyDescent="0.2">
      <c r="C50" s="18" t="s">
        <v>30</v>
      </c>
      <c r="D50" s="15" t="s">
        <v>87</v>
      </c>
      <c r="E50" s="16" t="s">
        <v>77</v>
      </c>
      <c r="F50" s="17" t="s">
        <v>78</v>
      </c>
      <c r="G50" s="17"/>
      <c r="H50" s="17"/>
      <c r="I50" s="400" t="str">
        <f>IF(OR(I48="",I48=0),"",ROUND(I49/I48,0))</f>
        <v/>
      </c>
      <c r="J50" s="400">
        <f>IF(OR(J48="",J48=0),"",ROUND(J49/J48,0))</f>
        <v>100</v>
      </c>
      <c r="K50" s="92">
        <f>②予算編成方針売上高!Q90</f>
        <v>90</v>
      </c>
      <c r="L50" s="400">
        <f t="shared" ref="L50:W50" si="11">IF(OR(L48="",L48=0),"",ROUND(L49/L48,0))</f>
        <v>90</v>
      </c>
      <c r="M50" s="400">
        <f t="shared" si="11"/>
        <v>90</v>
      </c>
      <c r="N50" s="400">
        <f t="shared" si="11"/>
        <v>90</v>
      </c>
      <c r="O50" s="400">
        <f t="shared" si="11"/>
        <v>90</v>
      </c>
      <c r="P50" s="400">
        <f t="shared" si="11"/>
        <v>90</v>
      </c>
      <c r="Q50" s="400">
        <f t="shared" si="11"/>
        <v>90</v>
      </c>
      <c r="R50" s="400">
        <f t="shared" si="11"/>
        <v>90</v>
      </c>
      <c r="S50" s="400">
        <f t="shared" si="11"/>
        <v>90</v>
      </c>
      <c r="T50" s="400">
        <f t="shared" si="11"/>
        <v>90</v>
      </c>
      <c r="U50" s="400">
        <f t="shared" si="11"/>
        <v>90</v>
      </c>
      <c r="V50" s="400">
        <f t="shared" si="11"/>
        <v>90</v>
      </c>
      <c r="W50" s="408">
        <f t="shared" si="11"/>
        <v>90</v>
      </c>
      <c r="X50" s="95">
        <f>IF(OR(X48="",X48=0),"",ROUND(X49/X48,0))</f>
        <v>90</v>
      </c>
      <c r="Y50" s="402">
        <f>IF(K50="","",+X50-K50)</f>
        <v>0</v>
      </c>
      <c r="Z50" s="403">
        <f>IF(OR(K50="",X50=""),"",ROUND(X50/K50,3))</f>
        <v>1</v>
      </c>
      <c r="AA50" s="401">
        <f>+X50-J50</f>
        <v>-10</v>
      </c>
      <c r="AB50" s="404">
        <f>IF(OR(J50="",AA50=""),"",ROUND(AA50/J50,2))</f>
        <v>-0.1</v>
      </c>
    </row>
    <row r="51" spans="3:28" ht="13.9" customHeight="1" thickBot="1" x14ac:dyDescent="0.2">
      <c r="C51" s="96"/>
      <c r="D51" s="97"/>
      <c r="E51" s="98"/>
      <c r="F51" s="98"/>
      <c r="G51" s="98"/>
      <c r="H51" s="98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02" t="s">
        <v>318</v>
      </c>
      <c r="Y51" s="99"/>
      <c r="Z51" s="100"/>
      <c r="AA51" s="99"/>
      <c r="AB51" s="101"/>
    </row>
    <row r="52" spans="3:28" ht="13.9" customHeight="1" thickBot="1" x14ac:dyDescent="0.2">
      <c r="C52" s="96"/>
      <c r="D52" s="97"/>
      <c r="E52" s="98"/>
      <c r="F52" s="98"/>
      <c r="G52" s="98"/>
      <c r="H52" s="98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261" t="s">
        <v>319</v>
      </c>
      <c r="Y52" s="262"/>
      <c r="Z52" s="263"/>
      <c r="AA52" s="99"/>
      <c r="AB52" s="101"/>
    </row>
    <row r="53" spans="3:28" ht="16.899999999999999" customHeight="1" x14ac:dyDescent="0.15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Y53" s="25"/>
      <c r="Z53" s="25"/>
      <c r="AA53" s="25"/>
      <c r="AB53" s="25"/>
    </row>
  </sheetData>
  <mergeCells count="67">
    <mergeCell ref="AB43:AB45"/>
    <mergeCell ref="D41:I41"/>
    <mergeCell ref="C43:C45"/>
    <mergeCell ref="D43:D45"/>
    <mergeCell ref="E43:E45"/>
    <mergeCell ref="F43:F45"/>
    <mergeCell ref="G43:G45"/>
    <mergeCell ref="H43:H45"/>
    <mergeCell ref="I43:I45"/>
    <mergeCell ref="K43:K45"/>
    <mergeCell ref="W41:X41"/>
    <mergeCell ref="X43:X45"/>
    <mergeCell ref="Y43:Y45"/>
    <mergeCell ref="Z43:Z45"/>
    <mergeCell ref="AA43:AA45"/>
    <mergeCell ref="E40:I40"/>
    <mergeCell ref="X26:X28"/>
    <mergeCell ref="Y26:Y28"/>
    <mergeCell ref="Z26:Z28"/>
    <mergeCell ref="AA26:AA28"/>
    <mergeCell ref="W40:X40"/>
    <mergeCell ref="C36:AB36"/>
    <mergeCell ref="C19:AB19"/>
    <mergeCell ref="E21:I21"/>
    <mergeCell ref="E22:I22"/>
    <mergeCell ref="D24:I24"/>
    <mergeCell ref="C26:C28"/>
    <mergeCell ref="D26:D28"/>
    <mergeCell ref="E26:E28"/>
    <mergeCell ref="F26:F28"/>
    <mergeCell ref="G26:G28"/>
    <mergeCell ref="H26:H28"/>
    <mergeCell ref="I26:I28"/>
    <mergeCell ref="K26:K28"/>
    <mergeCell ref="AB26:AB28"/>
    <mergeCell ref="E23:I23"/>
    <mergeCell ref="C2:AB2"/>
    <mergeCell ref="E4:I4"/>
    <mergeCell ref="W4:X4"/>
    <mergeCell ref="E5:I5"/>
    <mergeCell ref="W5:X5"/>
    <mergeCell ref="C9:C11"/>
    <mergeCell ref="D9:D11"/>
    <mergeCell ref="E9:E11"/>
    <mergeCell ref="F9:F11"/>
    <mergeCell ref="G9:G11"/>
    <mergeCell ref="X9:X11"/>
    <mergeCell ref="Y9:Y11"/>
    <mergeCell ref="Z9:Z11"/>
    <mergeCell ref="AA9:AA11"/>
    <mergeCell ref="AB9:AB11"/>
    <mergeCell ref="X52:Z52"/>
    <mergeCell ref="E6:I6"/>
    <mergeCell ref="W6:X6"/>
    <mergeCell ref="E38:L38"/>
    <mergeCell ref="E39:L39"/>
    <mergeCell ref="W21:X21"/>
    <mergeCell ref="W22:X22"/>
    <mergeCell ref="W23:X23"/>
    <mergeCell ref="W24:X24"/>
    <mergeCell ref="W38:X38"/>
    <mergeCell ref="W39:X39"/>
    <mergeCell ref="D7:I7"/>
    <mergeCell ref="W7:X7"/>
    <mergeCell ref="H9:H11"/>
    <mergeCell ref="I9:I11"/>
    <mergeCell ref="K9:K11"/>
  </mergeCells>
  <phoneticPr fontId="2"/>
  <printOptions horizontalCentered="1"/>
  <pageMargins left="0.2" right="0.21" top="0.32" bottom="0.22" header="0.31496062992125984" footer="0.2"/>
  <pageSetup paperSize="9" scale="6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3"/>
  <sheetViews>
    <sheetView workbookViewId="0">
      <selection activeCell="J24" sqref="J24"/>
    </sheetView>
  </sheetViews>
  <sheetFormatPr defaultRowHeight="13.5" x14ac:dyDescent="0.15"/>
  <cols>
    <col min="1" max="3" width="5.75" customWidth="1"/>
    <col min="4" max="4" width="29.5" customWidth="1"/>
    <col min="5" max="5" width="4.75" customWidth="1"/>
    <col min="6" max="7" width="5.75" customWidth="1"/>
    <col min="8" max="8" width="4.75" customWidth="1"/>
    <col min="9" max="9" width="25.875" customWidth="1"/>
    <col min="10" max="10" width="44.25" customWidth="1"/>
    <col min="11" max="43" width="5.75" customWidth="1"/>
  </cols>
  <sheetData>
    <row r="3" spans="3:10" ht="24" x14ac:dyDescent="0.15">
      <c r="C3" s="155" t="s">
        <v>333</v>
      </c>
      <c r="D3" s="155"/>
      <c r="E3" s="155"/>
      <c r="F3" s="155"/>
      <c r="G3" s="155"/>
      <c r="H3" s="155"/>
      <c r="I3" s="155"/>
      <c r="J3" s="155"/>
    </row>
    <row r="4" spans="3:10" x14ac:dyDescent="0.15">
      <c r="C4" s="280" t="s">
        <v>629</v>
      </c>
      <c r="D4" s="280"/>
      <c r="E4" s="280"/>
      <c r="F4" s="280"/>
      <c r="G4" s="280"/>
      <c r="H4" s="280"/>
      <c r="I4" s="280"/>
      <c r="J4" s="280"/>
    </row>
    <row r="7" spans="3:10" x14ac:dyDescent="0.15">
      <c r="C7" s="162" t="s">
        <v>14</v>
      </c>
      <c r="D7" s="165" t="s">
        <v>15</v>
      </c>
      <c r="E7" s="168" t="s">
        <v>16</v>
      </c>
      <c r="F7" s="168" t="s">
        <v>17</v>
      </c>
      <c r="G7" s="162" t="s">
        <v>18</v>
      </c>
      <c r="H7" s="162" t="s">
        <v>19</v>
      </c>
      <c r="I7" s="162" t="s">
        <v>299</v>
      </c>
      <c r="J7" s="162" t="s">
        <v>300</v>
      </c>
    </row>
    <row r="8" spans="3:10" x14ac:dyDescent="0.15">
      <c r="C8" s="163"/>
      <c r="D8" s="166"/>
      <c r="E8" s="169"/>
      <c r="F8" s="169"/>
      <c r="G8" s="166"/>
      <c r="H8" s="166"/>
      <c r="I8" s="166"/>
      <c r="J8" s="166"/>
    </row>
    <row r="9" spans="3:10" x14ac:dyDescent="0.15">
      <c r="C9" s="164"/>
      <c r="D9" s="167"/>
      <c r="E9" s="170"/>
      <c r="F9" s="170"/>
      <c r="G9" s="167"/>
      <c r="H9" s="167"/>
      <c r="I9" s="167"/>
      <c r="J9" s="167"/>
    </row>
    <row r="11" spans="3:10" ht="14.25" thickBot="1" x14ac:dyDescent="0.2"/>
    <row r="12" spans="3:10" ht="21.75" thickBot="1" x14ac:dyDescent="0.2">
      <c r="C12" s="14">
        <v>1</v>
      </c>
      <c r="D12" s="37" t="s">
        <v>151</v>
      </c>
      <c r="E12" s="16" t="s">
        <v>29</v>
      </c>
      <c r="F12" s="17" t="s">
        <v>76</v>
      </c>
      <c r="G12" s="17"/>
      <c r="H12" s="86"/>
      <c r="I12" s="414">
        <f>③次期予算売上高!X48</f>
        <v>1260</v>
      </c>
      <c r="J12" s="87" t="s">
        <v>303</v>
      </c>
    </row>
    <row r="13" spans="3:10" ht="21.75" thickBot="1" x14ac:dyDescent="0.2">
      <c r="C13" s="18">
        <v>2</v>
      </c>
      <c r="D13" s="37" t="s">
        <v>302</v>
      </c>
      <c r="E13" s="16" t="s">
        <v>77</v>
      </c>
      <c r="F13" s="17" t="s">
        <v>78</v>
      </c>
      <c r="G13" s="17" t="s">
        <v>301</v>
      </c>
      <c r="H13" s="17"/>
      <c r="I13" s="414">
        <f>③次期予算売上高!X49</f>
        <v>113400</v>
      </c>
      <c r="J13" s="87" t="s">
        <v>303</v>
      </c>
    </row>
  </sheetData>
  <mergeCells count="10">
    <mergeCell ref="I7:I9"/>
    <mergeCell ref="J7:J9"/>
    <mergeCell ref="C3:J3"/>
    <mergeCell ref="C4:J4"/>
    <mergeCell ref="C7:C9"/>
    <mergeCell ref="D7:D9"/>
    <mergeCell ref="E7:E9"/>
    <mergeCell ref="F7:F9"/>
    <mergeCell ref="G7:G9"/>
    <mergeCell ref="H7:H9"/>
  </mergeCells>
  <phoneticPr fontId="2"/>
  <pageMargins left="0.70866141732283472" right="0.44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G28" sqref="G28"/>
    </sheetView>
  </sheetViews>
  <sheetFormatPr defaultRowHeight="13.5" x14ac:dyDescent="0.15"/>
  <cols>
    <col min="1" max="1" width="4.375" customWidth="1"/>
    <col min="2" max="2" width="22.625" customWidth="1"/>
    <col min="3" max="3" width="21" customWidth="1"/>
    <col min="4" max="4" width="4.5" customWidth="1"/>
    <col min="5" max="5" width="5.375" customWidth="1"/>
    <col min="6" max="6" width="4.25" customWidth="1"/>
    <col min="21" max="21" width="9" customWidth="1"/>
    <col min="22" max="22" width="11.75" customWidth="1"/>
    <col min="23" max="23" width="10.375" customWidth="1"/>
    <col min="25" max="25" width="10.25" customWidth="1"/>
  </cols>
  <sheetData>
    <row r="2" spans="1:26" ht="24.75" thickBot="1" x14ac:dyDescent="0.2">
      <c r="A2" s="155" t="s">
        <v>334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6" ht="14.25" thickBot="1" x14ac:dyDescent="0.2">
      <c r="D3" s="296" t="s">
        <v>191</v>
      </c>
      <c r="E3" s="297"/>
    </row>
    <row r="4" spans="1:26" ht="18" thickBot="1" x14ac:dyDescent="0.2">
      <c r="D4" s="426">
        <v>0.08</v>
      </c>
      <c r="E4" s="298"/>
      <c r="H4" s="2"/>
      <c r="I4" s="2"/>
      <c r="J4" s="2"/>
      <c r="K4" s="2"/>
      <c r="L4" s="2"/>
      <c r="M4" s="2"/>
      <c r="N4" s="2"/>
      <c r="O4" s="2"/>
      <c r="P4" s="2"/>
      <c r="U4" s="153" t="s">
        <v>2</v>
      </c>
      <c r="V4" s="154"/>
      <c r="W4" s="67" t="s">
        <v>304</v>
      </c>
      <c r="X4" s="67" t="s">
        <v>305</v>
      </c>
      <c r="Y4" s="67" t="s">
        <v>306</v>
      </c>
    </row>
    <row r="5" spans="1:26" ht="14.25" thickBot="1" x14ac:dyDescent="0.2">
      <c r="H5" s="2"/>
      <c r="I5" s="2"/>
      <c r="J5" s="2"/>
      <c r="K5" s="2"/>
      <c r="L5" s="2"/>
      <c r="M5" s="2"/>
      <c r="N5" s="2"/>
      <c r="O5" s="2"/>
      <c r="P5" s="2"/>
      <c r="U5" s="153" t="s">
        <v>5</v>
      </c>
      <c r="V5" s="154"/>
      <c r="W5" s="3" t="s">
        <v>6</v>
      </c>
      <c r="X5" s="3" t="s">
        <v>7</v>
      </c>
      <c r="Y5" s="3" t="s">
        <v>0</v>
      </c>
    </row>
    <row r="6" spans="1:26" ht="14.25" thickBot="1" x14ac:dyDescent="0.2">
      <c r="B6" s="153" t="s">
        <v>298</v>
      </c>
      <c r="C6" s="154"/>
      <c r="D6" s="284" t="s">
        <v>210</v>
      </c>
      <c r="E6" s="285"/>
      <c r="F6" s="285"/>
      <c r="G6" s="286"/>
      <c r="H6" s="2"/>
      <c r="I6" s="2"/>
      <c r="J6" s="2"/>
      <c r="K6" s="2"/>
      <c r="L6" s="2"/>
      <c r="M6" s="2"/>
      <c r="N6" s="2" t="s">
        <v>332</v>
      </c>
      <c r="O6" s="2"/>
      <c r="P6" s="2"/>
      <c r="U6" s="153" t="s">
        <v>8</v>
      </c>
      <c r="V6" s="154"/>
      <c r="W6" s="3" t="s">
        <v>9</v>
      </c>
      <c r="X6" s="3" t="s">
        <v>9</v>
      </c>
      <c r="Y6" s="3" t="s">
        <v>9</v>
      </c>
    </row>
    <row r="7" spans="1:26" ht="14.25" thickBot="1" x14ac:dyDescent="0.2">
      <c r="B7" s="159" t="s">
        <v>10</v>
      </c>
      <c r="C7" s="160"/>
      <c r="D7" s="160"/>
      <c r="E7" s="160"/>
      <c r="F7" s="160"/>
      <c r="G7" s="161"/>
      <c r="H7" s="2"/>
      <c r="I7" s="2" t="s">
        <v>320</v>
      </c>
      <c r="J7" s="2"/>
      <c r="K7" s="2"/>
      <c r="L7" s="2"/>
      <c r="M7" s="2"/>
      <c r="N7" s="2" t="s">
        <v>324</v>
      </c>
      <c r="O7" s="2"/>
      <c r="P7" s="2"/>
      <c r="U7" s="153" t="s">
        <v>11</v>
      </c>
      <c r="V7" s="154"/>
      <c r="W7" s="3" t="s">
        <v>12</v>
      </c>
      <c r="X7" s="3" t="s">
        <v>12</v>
      </c>
      <c r="Y7" s="3" t="s">
        <v>12</v>
      </c>
    </row>
    <row r="9" spans="1:26" ht="13.15" customHeight="1" thickBot="1" x14ac:dyDescent="0.2">
      <c r="A9" s="162" t="s">
        <v>14</v>
      </c>
      <c r="B9" s="11" t="s">
        <v>15</v>
      </c>
      <c r="C9" s="11"/>
      <c r="D9" s="168" t="s">
        <v>16</v>
      </c>
      <c r="E9" s="168" t="s">
        <v>17</v>
      </c>
      <c r="F9" s="162" t="s">
        <v>18</v>
      </c>
      <c r="G9" s="287" t="s">
        <v>321</v>
      </c>
      <c r="H9" s="287" t="s">
        <v>322</v>
      </c>
      <c r="I9" s="162" t="s">
        <v>323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  <c r="R9" s="5" t="s">
        <v>21</v>
      </c>
      <c r="S9" s="5" t="s">
        <v>38</v>
      </c>
      <c r="T9" s="5" t="s">
        <v>38</v>
      </c>
      <c r="U9" s="5" t="s">
        <v>38</v>
      </c>
      <c r="V9" s="281" t="s">
        <v>326</v>
      </c>
      <c r="W9" s="162" t="s">
        <v>327</v>
      </c>
      <c r="X9" s="162" t="s">
        <v>86</v>
      </c>
      <c r="Y9" s="162" t="s">
        <v>329</v>
      </c>
      <c r="Z9" s="162" t="s">
        <v>328</v>
      </c>
    </row>
    <row r="10" spans="1:26" ht="16.149999999999999" customHeight="1" x14ac:dyDescent="0.15">
      <c r="A10" s="290"/>
      <c r="B10" s="299" t="s">
        <v>192</v>
      </c>
      <c r="C10" s="299" t="s">
        <v>193</v>
      </c>
      <c r="D10" s="292"/>
      <c r="E10" s="169"/>
      <c r="F10" s="166"/>
      <c r="G10" s="294"/>
      <c r="H10" s="288"/>
      <c r="I10" s="166"/>
      <c r="J10" s="5" t="s">
        <v>36</v>
      </c>
      <c r="K10" s="5" t="s">
        <v>40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47</v>
      </c>
      <c r="S10" s="5" t="s">
        <v>23</v>
      </c>
      <c r="T10" s="5" t="s">
        <v>24</v>
      </c>
      <c r="U10" s="5" t="s">
        <v>25</v>
      </c>
      <c r="V10" s="282"/>
      <c r="W10" s="163"/>
      <c r="X10" s="163"/>
      <c r="Y10" s="163"/>
      <c r="Z10" s="163"/>
    </row>
    <row r="11" spans="1:26" ht="23.45" customHeight="1" thickBot="1" x14ac:dyDescent="0.2">
      <c r="A11" s="291"/>
      <c r="B11" s="300"/>
      <c r="C11" s="300"/>
      <c r="D11" s="293"/>
      <c r="E11" s="170"/>
      <c r="F11" s="167"/>
      <c r="G11" s="295"/>
      <c r="H11" s="289"/>
      <c r="I11" s="167"/>
      <c r="J11" s="5" t="s">
        <v>37</v>
      </c>
      <c r="K11" s="5" t="s">
        <v>37</v>
      </c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37</v>
      </c>
      <c r="S11" s="5" t="s">
        <v>37</v>
      </c>
      <c r="T11" s="5" t="s">
        <v>37</v>
      </c>
      <c r="U11" s="5" t="s">
        <v>37</v>
      </c>
      <c r="V11" s="283"/>
      <c r="W11" s="164"/>
      <c r="X11" s="164"/>
      <c r="Y11" s="164"/>
      <c r="Z11" s="164"/>
    </row>
    <row r="12" spans="1:26" ht="27" x14ac:dyDescent="0.15">
      <c r="A12" s="6"/>
      <c r="B12" s="68"/>
      <c r="C12" s="68"/>
      <c r="D12" s="6"/>
      <c r="E12" s="6"/>
      <c r="F12" s="6"/>
      <c r="G12" s="375" t="s">
        <v>26</v>
      </c>
      <c r="H12" s="375" t="s">
        <v>52</v>
      </c>
      <c r="I12" s="375" t="s">
        <v>27</v>
      </c>
      <c r="J12" s="375" t="s">
        <v>53</v>
      </c>
      <c r="K12" s="375" t="s">
        <v>54</v>
      </c>
      <c r="L12" s="375" t="s">
        <v>55</v>
      </c>
      <c r="M12" s="375" t="s">
        <v>56</v>
      </c>
      <c r="N12" s="375" t="s">
        <v>57</v>
      </c>
      <c r="O12" s="375" t="s">
        <v>58</v>
      </c>
      <c r="P12" s="375" t="s">
        <v>59</v>
      </c>
      <c r="Q12" s="375" t="s">
        <v>60</v>
      </c>
      <c r="R12" s="375" t="s">
        <v>61</v>
      </c>
      <c r="S12" s="375" t="s">
        <v>62</v>
      </c>
      <c r="T12" s="375" t="s">
        <v>63</v>
      </c>
      <c r="U12" s="375" t="s">
        <v>64</v>
      </c>
      <c r="V12" s="376" t="s">
        <v>65</v>
      </c>
      <c r="W12" s="377" t="s">
        <v>66</v>
      </c>
      <c r="X12" s="399" t="s">
        <v>69</v>
      </c>
      <c r="Y12" s="377" t="s">
        <v>70</v>
      </c>
      <c r="Z12" s="377" t="s">
        <v>71</v>
      </c>
    </row>
    <row r="13" spans="1:26" ht="16.149999999999999" customHeight="1" thickBot="1" x14ac:dyDescent="0.2">
      <c r="A13" s="6"/>
      <c r="B13" s="7"/>
      <c r="C13" s="7"/>
      <c r="D13" s="6"/>
      <c r="E13" s="6"/>
      <c r="F13" s="6"/>
      <c r="G13" s="6"/>
      <c r="H13" s="6"/>
      <c r="I13" s="103" t="s">
        <v>325</v>
      </c>
      <c r="J13" s="103" t="s">
        <v>331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9"/>
      <c r="V13" s="6"/>
      <c r="W13" s="6"/>
      <c r="X13" s="7"/>
      <c r="Y13" s="7"/>
    </row>
    <row r="14" spans="1:26" ht="39" customHeight="1" thickBot="1" x14ac:dyDescent="0.25">
      <c r="A14" s="36" t="s">
        <v>28</v>
      </c>
      <c r="B14" s="50" t="s">
        <v>307</v>
      </c>
      <c r="C14" s="417" t="s">
        <v>194</v>
      </c>
      <c r="D14" s="38" t="s">
        <v>77</v>
      </c>
      <c r="E14" s="39" t="s">
        <v>78</v>
      </c>
      <c r="F14" s="39" t="s">
        <v>80</v>
      </c>
      <c r="G14" s="421">
        <v>0</v>
      </c>
      <c r="H14" s="421">
        <f>+G32</f>
        <v>0</v>
      </c>
      <c r="I14" s="421">
        <f>+H32</f>
        <v>229</v>
      </c>
      <c r="J14" s="71">
        <v>229</v>
      </c>
      <c r="K14" s="71">
        <f>+J32</f>
        <v>360</v>
      </c>
      <c r="L14" s="71">
        <f t="shared" ref="L14:U14" si="0">+K32</f>
        <v>792</v>
      </c>
      <c r="M14" s="71">
        <f t="shared" si="0"/>
        <v>1296</v>
      </c>
      <c r="N14" s="71">
        <f t="shared" si="0"/>
        <v>2016</v>
      </c>
      <c r="O14" s="71">
        <f t="shared" si="0"/>
        <v>2808</v>
      </c>
      <c r="P14" s="71">
        <f t="shared" si="0"/>
        <v>3600</v>
      </c>
      <c r="Q14" s="71">
        <f t="shared" si="0"/>
        <v>4392</v>
      </c>
      <c r="R14" s="71">
        <f t="shared" si="0"/>
        <v>5184</v>
      </c>
      <c r="S14" s="71">
        <f t="shared" si="0"/>
        <v>6192</v>
      </c>
      <c r="T14" s="71">
        <f t="shared" si="0"/>
        <v>7272</v>
      </c>
      <c r="U14" s="71">
        <f t="shared" si="0"/>
        <v>7992</v>
      </c>
      <c r="V14" s="71">
        <f>+J14</f>
        <v>229</v>
      </c>
      <c r="W14" s="422">
        <f>V14-I14</f>
        <v>0</v>
      </c>
      <c r="X14" s="423">
        <f>IF(I14="","",ROUND(V14/I14,3))</f>
        <v>1</v>
      </c>
      <c r="Y14" s="422">
        <f>V14-H14</f>
        <v>229</v>
      </c>
      <c r="Z14" s="423" t="str">
        <f>IF(H14=0,"",ROUND(Y14/H14,3))</f>
        <v/>
      </c>
    </row>
    <row r="15" spans="1:26" ht="14.25" thickBot="1" x14ac:dyDescent="0.2">
      <c r="A15" s="36"/>
    </row>
    <row r="16" spans="1:26" ht="21.75" thickBot="1" x14ac:dyDescent="0.25">
      <c r="A16" s="36" t="s">
        <v>30</v>
      </c>
      <c r="B16" s="415" t="s">
        <v>308</v>
      </c>
      <c r="C16" s="50" t="s">
        <v>195</v>
      </c>
      <c r="D16" s="38" t="s">
        <v>77</v>
      </c>
      <c r="E16" s="39" t="s">
        <v>78</v>
      </c>
      <c r="F16" s="39" t="s">
        <v>80</v>
      </c>
      <c r="G16" s="421">
        <f>'[1]4実績予想売上代金回収関係'!I84</f>
        <v>0</v>
      </c>
      <c r="H16" s="421">
        <v>100000</v>
      </c>
      <c r="I16" s="421">
        <f>④予算損益計算書!I13</f>
        <v>113400</v>
      </c>
      <c r="J16" s="421">
        <f>③次期予算売上高!L49</f>
        <v>4500</v>
      </c>
      <c r="K16" s="421">
        <f>③次期予算売上高!M49</f>
        <v>5400</v>
      </c>
      <c r="L16" s="421">
        <f>③次期予算売上高!N49</f>
        <v>6300</v>
      </c>
      <c r="M16" s="421">
        <f>③次期予算売上高!O49</f>
        <v>9000</v>
      </c>
      <c r="N16" s="421">
        <f>③次期予算売上高!P49</f>
        <v>9900</v>
      </c>
      <c r="O16" s="421">
        <f>③次期予算売上高!Q49</f>
        <v>9900</v>
      </c>
      <c r="P16" s="421">
        <f>③次期予算売上高!R49</f>
        <v>9900</v>
      </c>
      <c r="Q16" s="421">
        <f>③次期予算売上高!S49</f>
        <v>9900</v>
      </c>
      <c r="R16" s="421">
        <f>③次期予算売上高!T49</f>
        <v>12600</v>
      </c>
      <c r="S16" s="421">
        <f>③次期予算売上高!U49</f>
        <v>13500</v>
      </c>
      <c r="T16" s="421">
        <f>③次期予算売上高!V49</f>
        <v>9000</v>
      </c>
      <c r="U16" s="421">
        <f>③次期予算売上高!W49</f>
        <v>13500</v>
      </c>
      <c r="V16" s="424">
        <f>SUM(J16:U16)</f>
        <v>113400</v>
      </c>
      <c r="W16" s="425">
        <f>V16-I16</f>
        <v>0</v>
      </c>
      <c r="X16" s="423">
        <f>IF(I16="","",ROUND(V16/I16,3))</f>
        <v>1</v>
      </c>
      <c r="Y16" s="425">
        <f>V16-H16</f>
        <v>13400</v>
      </c>
      <c r="Z16" s="423">
        <f>IF(H16="","",ROUND(Y16/H16,3))</f>
        <v>0.13400000000000001</v>
      </c>
    </row>
    <row r="17" spans="1:26" ht="21.75" thickBot="1" x14ac:dyDescent="0.25">
      <c r="A17" s="36" t="s">
        <v>31</v>
      </c>
      <c r="B17" s="416"/>
      <c r="C17" s="419" t="s">
        <v>196</v>
      </c>
      <c r="D17" s="38" t="s">
        <v>77</v>
      </c>
      <c r="E17" s="39" t="s">
        <v>78</v>
      </c>
      <c r="F17" s="39" t="s">
        <v>80</v>
      </c>
      <c r="G17" s="71">
        <f>'[1]4実績予想売上代金回収関係'!I85</f>
        <v>0</v>
      </c>
      <c r="H17" s="71">
        <v>8000</v>
      </c>
      <c r="I17" s="71">
        <f>ROUND(I16*$D$4,0)</f>
        <v>9072</v>
      </c>
      <c r="J17" s="71">
        <f>ROUND(J16*$D$4,0)</f>
        <v>360</v>
      </c>
      <c r="K17" s="71">
        <f t="shared" ref="K17:U17" si="1">ROUND(K16*$D$4,0)</f>
        <v>432</v>
      </c>
      <c r="L17" s="71">
        <f t="shared" si="1"/>
        <v>504</v>
      </c>
      <c r="M17" s="71">
        <f t="shared" si="1"/>
        <v>720</v>
      </c>
      <c r="N17" s="71">
        <f t="shared" si="1"/>
        <v>792</v>
      </c>
      <c r="O17" s="71">
        <f t="shared" si="1"/>
        <v>792</v>
      </c>
      <c r="P17" s="71">
        <f t="shared" si="1"/>
        <v>792</v>
      </c>
      <c r="Q17" s="71">
        <f t="shared" si="1"/>
        <v>792</v>
      </c>
      <c r="R17" s="71">
        <f t="shared" si="1"/>
        <v>1008</v>
      </c>
      <c r="S17" s="71">
        <f t="shared" si="1"/>
        <v>1080</v>
      </c>
      <c r="T17" s="71">
        <f t="shared" si="1"/>
        <v>720</v>
      </c>
      <c r="U17" s="71">
        <f t="shared" si="1"/>
        <v>1080</v>
      </c>
      <c r="V17" s="72">
        <f>SUM(J17:U17)</f>
        <v>9072</v>
      </c>
      <c r="W17" s="425">
        <f>V17-I17</f>
        <v>0</v>
      </c>
      <c r="X17" s="423">
        <f>IF(I17="","",ROUND(V17/I17,3))</f>
        <v>1</v>
      </c>
      <c r="Y17" s="425">
        <f>V17-H17</f>
        <v>1072</v>
      </c>
      <c r="Z17" s="423">
        <f>IF(H17="","",ROUND(Y17/H17,3))</f>
        <v>0.13400000000000001</v>
      </c>
    </row>
    <row r="18" spans="1:26" ht="14.25" thickBot="1" x14ac:dyDescent="0.2"/>
    <row r="19" spans="1:26" ht="21.75" thickBot="1" x14ac:dyDescent="0.25">
      <c r="A19" s="36" t="s">
        <v>197</v>
      </c>
      <c r="B19" s="415" t="s">
        <v>309</v>
      </c>
      <c r="C19" s="73" t="s">
        <v>193</v>
      </c>
      <c r="D19" s="38" t="s">
        <v>77</v>
      </c>
      <c r="E19" s="39" t="s">
        <v>78</v>
      </c>
      <c r="F19" s="39" t="s">
        <v>198</v>
      </c>
      <c r="G19" s="421"/>
      <c r="H19" s="421">
        <v>97140</v>
      </c>
      <c r="I19" s="421">
        <v>58375</v>
      </c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>
        <f>SUM(O19:T19)</f>
        <v>0</v>
      </c>
      <c r="V19" s="424">
        <f>SUM(J19:U19)</f>
        <v>0</v>
      </c>
      <c r="W19" s="425">
        <f t="shared" ref="W19:W20" si="2">V19-I19</f>
        <v>-58375</v>
      </c>
      <c r="X19" s="423">
        <f t="shared" ref="X19" si="3">IF(I19="","",ROUND(V19/I19,3))</f>
        <v>0</v>
      </c>
      <c r="Y19" s="425">
        <f t="shared" ref="Y19:Y20" si="4">V19-H19</f>
        <v>-97140</v>
      </c>
      <c r="Z19" s="423">
        <f t="shared" ref="Z19:Z20" si="5">IF(H19="","",ROUND(Y19/H19,3))</f>
        <v>-1</v>
      </c>
    </row>
    <row r="20" spans="1:26" ht="21.75" thickBot="1" x14ac:dyDescent="0.25">
      <c r="A20" s="36" t="s">
        <v>199</v>
      </c>
      <c r="B20" s="420"/>
      <c r="C20" s="418" t="s">
        <v>196</v>
      </c>
      <c r="D20" s="38" t="s">
        <v>77</v>
      </c>
      <c r="E20" s="39" t="s">
        <v>78</v>
      </c>
      <c r="F20" s="39" t="s">
        <v>198</v>
      </c>
      <c r="G20" s="421">
        <f>IF(G19="",0,ROUND(G19*$D$4,0))</f>
        <v>0</v>
      </c>
      <c r="H20" s="71">
        <f>IF(H19="",0,ROUND(H19*$D$4,0))</f>
        <v>7771</v>
      </c>
      <c r="I20" s="71">
        <f t="shared" ref="I20:N20" si="6">IF(I19="",0,ROUND(I19*$D$4,0))</f>
        <v>4670</v>
      </c>
      <c r="J20" s="71">
        <f t="shared" si="6"/>
        <v>0</v>
      </c>
      <c r="K20" s="71">
        <f t="shared" si="6"/>
        <v>0</v>
      </c>
      <c r="L20" s="71">
        <f t="shared" si="6"/>
        <v>0</v>
      </c>
      <c r="M20" s="71">
        <f t="shared" si="6"/>
        <v>0</v>
      </c>
      <c r="N20" s="71">
        <f t="shared" si="6"/>
        <v>0</v>
      </c>
      <c r="O20" s="71">
        <f t="shared" ref="O20:T20" si="7">IF(O19="",0,ROUND(O19*$D$4,0))</f>
        <v>0</v>
      </c>
      <c r="P20" s="71">
        <f t="shared" si="7"/>
        <v>0</v>
      </c>
      <c r="Q20" s="71">
        <f t="shared" si="7"/>
        <v>0</v>
      </c>
      <c r="R20" s="71">
        <f t="shared" si="7"/>
        <v>0</v>
      </c>
      <c r="S20" s="71">
        <f t="shared" si="7"/>
        <v>0</v>
      </c>
      <c r="T20" s="71">
        <f t="shared" si="7"/>
        <v>0</v>
      </c>
      <c r="U20" s="71">
        <f>SUM(O20:T20)</f>
        <v>0</v>
      </c>
      <c r="V20" s="72">
        <f>SUM(J20:U20)</f>
        <v>0</v>
      </c>
      <c r="W20" s="425">
        <f t="shared" si="2"/>
        <v>-4670</v>
      </c>
      <c r="X20" s="423">
        <f>IF(I20=0,"",ROUND(V20/I20,3))</f>
        <v>0</v>
      </c>
      <c r="Y20" s="425">
        <f t="shared" si="4"/>
        <v>-7771</v>
      </c>
      <c r="Z20" s="423">
        <f t="shared" si="5"/>
        <v>-1</v>
      </c>
    </row>
    <row r="21" spans="1:26" ht="14.25" thickBot="1" x14ac:dyDescent="0.2">
      <c r="B21" s="420"/>
      <c r="U21" s="104"/>
    </row>
    <row r="22" spans="1:26" ht="21.75" thickBot="1" x14ac:dyDescent="0.25">
      <c r="A22" s="36" t="s">
        <v>200</v>
      </c>
      <c r="B22" s="420"/>
      <c r="C22" s="73" t="s">
        <v>193</v>
      </c>
      <c r="D22" s="38" t="s">
        <v>77</v>
      </c>
      <c r="E22" s="39" t="s">
        <v>78</v>
      </c>
      <c r="F22" s="39" t="s">
        <v>198</v>
      </c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>
        <f>SUM(O22:T22)</f>
        <v>0</v>
      </c>
      <c r="V22" s="424">
        <f>SUM(J22:U22)</f>
        <v>0</v>
      </c>
      <c r="W22" s="425">
        <f t="shared" ref="W22:W23" si="8">V22-I22</f>
        <v>0</v>
      </c>
      <c r="X22" s="423" t="str">
        <f t="shared" ref="X22:X23" si="9">IF(I22=0,"",ROUND(V22/I22,3))</f>
        <v/>
      </c>
      <c r="Y22" s="425">
        <f t="shared" ref="Y22:Y23" si="10">V22-H22</f>
        <v>0</v>
      </c>
      <c r="Z22" s="423" t="str">
        <f t="shared" ref="Z22" si="11">IF(H22="","",ROUND(Y22/H22,3))</f>
        <v/>
      </c>
    </row>
    <row r="23" spans="1:26" ht="21.75" thickBot="1" x14ac:dyDescent="0.25">
      <c r="A23" s="36" t="s">
        <v>201</v>
      </c>
      <c r="B23" s="420"/>
      <c r="C23" s="418" t="s">
        <v>196</v>
      </c>
      <c r="D23" s="38" t="s">
        <v>77</v>
      </c>
      <c r="E23" s="39" t="s">
        <v>78</v>
      </c>
      <c r="F23" s="39" t="s">
        <v>198</v>
      </c>
      <c r="G23" s="421">
        <f>IF(G22="",0,ROUND(G22*$D$4,0))</f>
        <v>0</v>
      </c>
      <c r="H23" s="421">
        <f>IF(H22="",0,ROUND(H22*$D$4,0))</f>
        <v>0</v>
      </c>
      <c r="I23" s="421">
        <f t="shared" ref="I23" si="12">IF(I22="",0,ROUND(I22*$D$4,0))</f>
        <v>0</v>
      </c>
      <c r="J23" s="421">
        <f t="shared" ref="J23" si="13">IF(J22="",0,ROUND(J22*$D$4,0))</f>
        <v>0</v>
      </c>
      <c r="K23" s="421">
        <f t="shared" ref="K23" si="14">IF(K22="",0,ROUND(K22*$D$4,0))</f>
        <v>0</v>
      </c>
      <c r="L23" s="421">
        <f t="shared" ref="L23" si="15">IF(L22="",0,ROUND(L22*$D$4,0))</f>
        <v>0</v>
      </c>
      <c r="M23" s="421">
        <f t="shared" ref="M23" si="16">IF(M22="",0,ROUND(M22*$D$4,0))</f>
        <v>0</v>
      </c>
      <c r="N23" s="421">
        <f t="shared" ref="N23" si="17">IF(N22="",0,ROUND(N22*$D$4,0))</f>
        <v>0</v>
      </c>
      <c r="O23" s="421">
        <f t="shared" ref="O23" si="18">IF(O22="",0,ROUND(O22*$D$4,0))</f>
        <v>0</v>
      </c>
      <c r="P23" s="421">
        <f t="shared" ref="P23:T23" si="19">IF(P22="",0,ROUND(P22*$D$4,0))</f>
        <v>0</v>
      </c>
      <c r="Q23" s="421">
        <f t="shared" si="19"/>
        <v>0</v>
      </c>
      <c r="R23" s="421">
        <f t="shared" si="19"/>
        <v>0</v>
      </c>
      <c r="S23" s="421">
        <f t="shared" si="19"/>
        <v>0</v>
      </c>
      <c r="T23" s="421">
        <f t="shared" si="19"/>
        <v>0</v>
      </c>
      <c r="U23" s="421">
        <f>SUM(O23:T23)</f>
        <v>0</v>
      </c>
      <c r="V23" s="72">
        <f>SUM(J23:U23)</f>
        <v>0</v>
      </c>
      <c r="W23" s="425">
        <f t="shared" si="8"/>
        <v>0</v>
      </c>
      <c r="X23" s="423" t="str">
        <f t="shared" si="9"/>
        <v/>
      </c>
      <c r="Y23" s="425">
        <f t="shared" si="10"/>
        <v>0</v>
      </c>
      <c r="Z23" s="423" t="str">
        <f>IF(H23=0,"",ROUND(Y23/H23,3))</f>
        <v/>
      </c>
    </row>
    <row r="24" spans="1:26" ht="14.25" thickBot="1" x14ac:dyDescent="0.2">
      <c r="B24" s="420"/>
      <c r="U24" s="104"/>
    </row>
    <row r="25" spans="1:26" ht="21.75" thickBot="1" x14ac:dyDescent="0.25">
      <c r="A25" s="36" t="s">
        <v>202</v>
      </c>
      <c r="B25" s="420"/>
      <c r="C25" s="73" t="s">
        <v>193</v>
      </c>
      <c r="D25" s="38" t="s">
        <v>77</v>
      </c>
      <c r="E25" s="39" t="s">
        <v>78</v>
      </c>
      <c r="F25" s="39" t="s">
        <v>198</v>
      </c>
      <c r="G25" s="421">
        <f>+G19+G22</f>
        <v>0</v>
      </c>
      <c r="H25" s="421">
        <f t="shared" ref="H25:T26" si="20">+H19+H22</f>
        <v>97140</v>
      </c>
      <c r="I25" s="421">
        <f t="shared" si="20"/>
        <v>58375</v>
      </c>
      <c r="J25" s="421">
        <f t="shared" si="20"/>
        <v>0</v>
      </c>
      <c r="K25" s="421">
        <f t="shared" si="20"/>
        <v>0</v>
      </c>
      <c r="L25" s="421">
        <f t="shared" si="20"/>
        <v>0</v>
      </c>
      <c r="M25" s="421">
        <f t="shared" si="20"/>
        <v>0</v>
      </c>
      <c r="N25" s="421">
        <f t="shared" si="20"/>
        <v>0</v>
      </c>
      <c r="O25" s="421">
        <f t="shared" si="20"/>
        <v>0</v>
      </c>
      <c r="P25" s="421">
        <f t="shared" si="20"/>
        <v>0</v>
      </c>
      <c r="Q25" s="421">
        <f t="shared" si="20"/>
        <v>0</v>
      </c>
      <c r="R25" s="421">
        <f t="shared" si="20"/>
        <v>0</v>
      </c>
      <c r="S25" s="421">
        <f t="shared" si="20"/>
        <v>0</v>
      </c>
      <c r="T25" s="421">
        <f t="shared" si="20"/>
        <v>0</v>
      </c>
      <c r="U25" s="421">
        <f>SUM(O25:T25)</f>
        <v>0</v>
      </c>
      <c r="V25" s="424">
        <f>IF(G25="","",+U25-G25)</f>
        <v>0</v>
      </c>
      <c r="W25" s="425">
        <f t="shared" ref="W25:W26" si="21">V25-I25</f>
        <v>-58375</v>
      </c>
      <c r="X25" s="423">
        <f t="shared" ref="X25:X26" si="22">IF(I25=0,"",ROUND(V25/I25,3))</f>
        <v>0</v>
      </c>
      <c r="Y25" s="425">
        <f t="shared" ref="Y25:Y26" si="23">V25-H25</f>
        <v>-97140</v>
      </c>
      <c r="Z25" s="423">
        <f t="shared" ref="Z25:Z26" si="24">IF(H25=0,"",ROUND(Y25/H25,3))</f>
        <v>-1</v>
      </c>
    </row>
    <row r="26" spans="1:26" ht="21.75" thickBot="1" x14ac:dyDescent="0.25">
      <c r="A26" s="36" t="s">
        <v>203</v>
      </c>
      <c r="B26" s="416"/>
      <c r="C26" s="418" t="s">
        <v>204</v>
      </c>
      <c r="D26" s="38" t="s">
        <v>77</v>
      </c>
      <c r="E26" s="39" t="s">
        <v>78</v>
      </c>
      <c r="F26" s="39" t="s">
        <v>198</v>
      </c>
      <c r="G26" s="421">
        <f>+G20+G23</f>
        <v>0</v>
      </c>
      <c r="H26" s="71">
        <f t="shared" si="20"/>
        <v>7771</v>
      </c>
      <c r="I26" s="71">
        <f t="shared" si="20"/>
        <v>4670</v>
      </c>
      <c r="J26" s="71">
        <f t="shared" si="20"/>
        <v>0</v>
      </c>
      <c r="K26" s="71">
        <f t="shared" si="20"/>
        <v>0</v>
      </c>
      <c r="L26" s="71">
        <f t="shared" si="20"/>
        <v>0</v>
      </c>
      <c r="M26" s="71">
        <f t="shared" si="20"/>
        <v>0</v>
      </c>
      <c r="N26" s="71">
        <f t="shared" si="20"/>
        <v>0</v>
      </c>
      <c r="O26" s="71">
        <f t="shared" si="20"/>
        <v>0</v>
      </c>
      <c r="P26" s="71">
        <f t="shared" si="20"/>
        <v>0</v>
      </c>
      <c r="Q26" s="71">
        <f t="shared" si="20"/>
        <v>0</v>
      </c>
      <c r="R26" s="71">
        <f t="shared" si="20"/>
        <v>0</v>
      </c>
      <c r="S26" s="71">
        <f t="shared" si="20"/>
        <v>0</v>
      </c>
      <c r="T26" s="71">
        <f t="shared" si="20"/>
        <v>0</v>
      </c>
      <c r="U26" s="71">
        <f>SUM(O26:T26)</f>
        <v>0</v>
      </c>
      <c r="V26" s="72">
        <f>IF(G26="","",+U26-G26)</f>
        <v>0</v>
      </c>
      <c r="W26" s="425">
        <f t="shared" si="21"/>
        <v>-4670</v>
      </c>
      <c r="X26" s="423">
        <f t="shared" si="22"/>
        <v>0</v>
      </c>
      <c r="Y26" s="425">
        <f t="shared" si="23"/>
        <v>-7771</v>
      </c>
      <c r="Z26" s="423">
        <f t="shared" si="24"/>
        <v>-1</v>
      </c>
    </row>
    <row r="27" spans="1:26" ht="14.25" thickBot="1" x14ac:dyDescent="0.2">
      <c r="U27" s="104"/>
    </row>
    <row r="28" spans="1:26" ht="57.6" customHeight="1" thickBot="1" x14ac:dyDescent="0.25">
      <c r="A28" s="36" t="s">
        <v>205</v>
      </c>
      <c r="B28" s="50" t="s">
        <v>330</v>
      </c>
      <c r="C28" s="70"/>
      <c r="D28" s="38" t="s">
        <v>77</v>
      </c>
      <c r="E28" s="39" t="s">
        <v>78</v>
      </c>
      <c r="F28" s="39" t="s">
        <v>198</v>
      </c>
      <c r="G28" s="427"/>
      <c r="H28" s="427"/>
      <c r="I28" s="427">
        <v>229</v>
      </c>
      <c r="J28" s="427">
        <v>229</v>
      </c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72">
        <f>SUM(J28:U28)</f>
        <v>229</v>
      </c>
      <c r="W28" s="422">
        <f t="shared" ref="W28" si="25">V28-I28</f>
        <v>0</v>
      </c>
      <c r="X28" s="423">
        <f t="shared" ref="X28" si="26">IF(I28=0,"",ROUND(V28/I28,3))</f>
        <v>1</v>
      </c>
      <c r="Y28" s="422">
        <f t="shared" ref="Y28" si="27">V28-H28</f>
        <v>229</v>
      </c>
      <c r="Z28" s="423" t="str">
        <f t="shared" ref="Z28" si="28">IF(H28=0,"",ROUND(Y28/H28,3))</f>
        <v/>
      </c>
    </row>
    <row r="29" spans="1:26" ht="14.25" thickBot="1" x14ac:dyDescent="0.2">
      <c r="U29" s="104"/>
    </row>
    <row r="30" spans="1:26" ht="27.75" thickBot="1" x14ac:dyDescent="0.25">
      <c r="A30" s="36" t="s">
        <v>206</v>
      </c>
      <c r="B30" s="50" t="s">
        <v>207</v>
      </c>
      <c r="C30" s="70"/>
      <c r="D30" s="38" t="s">
        <v>77</v>
      </c>
      <c r="E30" s="39" t="s">
        <v>78</v>
      </c>
      <c r="F30" s="39" t="s">
        <v>198</v>
      </c>
      <c r="G30" s="427"/>
      <c r="H30" s="427"/>
      <c r="I30" s="427">
        <v>171</v>
      </c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72">
        <f>SUM(J30:U30)</f>
        <v>0</v>
      </c>
      <c r="W30" s="425">
        <f t="shared" ref="W30" si="29">V30-I30</f>
        <v>-171</v>
      </c>
      <c r="X30" s="423">
        <f t="shared" ref="X30" si="30">IF(I30=0,"",ROUND(V30/I30,3))</f>
        <v>0</v>
      </c>
      <c r="Y30" s="425">
        <f t="shared" ref="Y30" si="31">V30-H30</f>
        <v>0</v>
      </c>
      <c r="Z30" s="423" t="str">
        <f t="shared" ref="Z30" si="32">IF(H30=0,"",ROUND(Y30/H30,3))</f>
        <v/>
      </c>
    </row>
    <row r="31" spans="1:26" ht="14.25" thickBot="1" x14ac:dyDescent="0.2">
      <c r="U31" s="104"/>
    </row>
    <row r="32" spans="1:26" ht="69.599999999999994" customHeight="1" thickBot="1" x14ac:dyDescent="0.25">
      <c r="A32" s="36" t="s">
        <v>205</v>
      </c>
      <c r="B32" s="50" t="s">
        <v>208</v>
      </c>
      <c r="C32" s="417" t="s">
        <v>209</v>
      </c>
      <c r="D32" s="38" t="s">
        <v>77</v>
      </c>
      <c r="E32" s="39" t="s">
        <v>78</v>
      </c>
      <c r="F32" s="39" t="s">
        <v>80</v>
      </c>
      <c r="G32" s="421">
        <f>G14-G26-G28-G31</f>
        <v>0</v>
      </c>
      <c r="H32" s="71">
        <f>H14+H17-H26-H28-H30</f>
        <v>229</v>
      </c>
      <c r="I32" s="71">
        <f t="shared" ref="I32:V32" si="33">I14+I17-I26-I28-I30</f>
        <v>4231</v>
      </c>
      <c r="J32" s="71">
        <f t="shared" si="33"/>
        <v>360</v>
      </c>
      <c r="K32" s="71">
        <f t="shared" si="33"/>
        <v>792</v>
      </c>
      <c r="L32" s="71">
        <f t="shared" si="33"/>
        <v>1296</v>
      </c>
      <c r="M32" s="71">
        <f t="shared" si="33"/>
        <v>2016</v>
      </c>
      <c r="N32" s="71">
        <f t="shared" si="33"/>
        <v>2808</v>
      </c>
      <c r="O32" s="71">
        <f t="shared" si="33"/>
        <v>3600</v>
      </c>
      <c r="P32" s="71">
        <f t="shared" si="33"/>
        <v>4392</v>
      </c>
      <c r="Q32" s="71">
        <f t="shared" si="33"/>
        <v>5184</v>
      </c>
      <c r="R32" s="71">
        <f t="shared" si="33"/>
        <v>6192</v>
      </c>
      <c r="S32" s="71">
        <f t="shared" si="33"/>
        <v>7272</v>
      </c>
      <c r="T32" s="71">
        <f t="shared" si="33"/>
        <v>7992</v>
      </c>
      <c r="U32" s="71">
        <f t="shared" si="33"/>
        <v>9072</v>
      </c>
      <c r="V32" s="71">
        <f t="shared" si="33"/>
        <v>9072</v>
      </c>
      <c r="W32" s="422">
        <f t="shared" ref="W32" si="34">V32-I32</f>
        <v>4841</v>
      </c>
      <c r="X32" s="423">
        <f t="shared" ref="X32" si="35">IF(I32=0,"",ROUND(V32/I32,3))</f>
        <v>2.1440000000000001</v>
      </c>
      <c r="Y32" s="422">
        <f t="shared" ref="Y32" si="36">V32-H32</f>
        <v>8843</v>
      </c>
      <c r="Z32" s="423">
        <f t="shared" ref="Z32" si="37">IF(H32=0,"",ROUND(Y32/H32,3))</f>
        <v>38.616</v>
      </c>
    </row>
  </sheetData>
  <mergeCells count="26">
    <mergeCell ref="Z9:Z11"/>
    <mergeCell ref="B16:B17"/>
    <mergeCell ref="B19:B26"/>
    <mergeCell ref="D3:E3"/>
    <mergeCell ref="D4:E4"/>
    <mergeCell ref="U4:V4"/>
    <mergeCell ref="U5:V5"/>
    <mergeCell ref="U6:V6"/>
    <mergeCell ref="U7:V7"/>
    <mergeCell ref="I9:I11"/>
    <mergeCell ref="W9:W11"/>
    <mergeCell ref="X9:X11"/>
    <mergeCell ref="Y9:Y11"/>
    <mergeCell ref="B10:B11"/>
    <mergeCell ref="C10:C11"/>
    <mergeCell ref="B7:G7"/>
    <mergeCell ref="V9:V11"/>
    <mergeCell ref="A2:Y2"/>
    <mergeCell ref="B6:C6"/>
    <mergeCell ref="D6:G6"/>
    <mergeCell ref="H9:H11"/>
    <mergeCell ref="A9:A11"/>
    <mergeCell ref="D9:D11"/>
    <mergeCell ref="E9:E11"/>
    <mergeCell ref="F9:F11"/>
    <mergeCell ref="G9:G11"/>
  </mergeCells>
  <phoneticPr fontId="2"/>
  <printOptions horizontalCentered="1"/>
  <pageMargins left="0.19685039370078741" right="0.19685039370078741" top="0.35433070866141736" bottom="0.27559055118110237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41"/>
  <sheetViews>
    <sheetView topLeftCell="A4" workbookViewId="0">
      <selection activeCell="H22" sqref="H22"/>
    </sheetView>
  </sheetViews>
  <sheetFormatPr defaultRowHeight="13.5" x14ac:dyDescent="0.15"/>
  <cols>
    <col min="2" max="2" width="3.625" customWidth="1"/>
    <col min="3" max="3" width="30.25" customWidth="1"/>
    <col min="4" max="4" width="5.75" customWidth="1"/>
    <col min="5" max="5" width="5.375" customWidth="1"/>
    <col min="6" max="6" width="3.375" customWidth="1"/>
    <col min="7" max="7" width="3.875" customWidth="1"/>
    <col min="8" max="9" width="12.5" bestFit="1" customWidth="1"/>
    <col min="10" max="11" width="9.625" bestFit="1" customWidth="1"/>
    <col min="12" max="13" width="9" bestFit="1" customWidth="1"/>
    <col min="14" max="14" width="15.125" customWidth="1"/>
    <col min="17" max="17" width="15" customWidth="1"/>
    <col min="18" max="18" width="15.5" customWidth="1"/>
    <col min="19" max="19" width="4.75" customWidth="1"/>
    <col min="20" max="20" width="10.25" customWidth="1"/>
    <col min="21" max="23" width="17.375" customWidth="1"/>
  </cols>
  <sheetData>
    <row r="2" spans="2:23" ht="24" x14ac:dyDescent="0.15">
      <c r="B2" s="155" t="s">
        <v>356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2:23" ht="14.25" thickBot="1" x14ac:dyDescent="0.2"/>
    <row r="4" spans="2:23" ht="14.25" thickBot="1" x14ac:dyDescent="0.2">
      <c r="S4" s="153" t="s">
        <v>2</v>
      </c>
      <c r="T4" s="154"/>
      <c r="U4" s="3" t="s">
        <v>626</v>
      </c>
      <c r="V4" s="3" t="s">
        <v>627</v>
      </c>
      <c r="W4" s="3" t="s">
        <v>628</v>
      </c>
    </row>
    <row r="5" spans="2:23" ht="14.25" thickBot="1" x14ac:dyDescent="0.2">
      <c r="S5" s="153" t="s">
        <v>5</v>
      </c>
      <c r="T5" s="154"/>
      <c r="U5" s="3" t="s">
        <v>6</v>
      </c>
      <c r="V5" s="3" t="s">
        <v>7</v>
      </c>
      <c r="W5" s="3" t="s">
        <v>0</v>
      </c>
    </row>
    <row r="6" spans="2:23" ht="14.25" thickBot="1" x14ac:dyDescent="0.2">
      <c r="C6" s="4" t="s">
        <v>335</v>
      </c>
      <c r="D6" s="301" t="s">
        <v>336</v>
      </c>
      <c r="E6" s="192"/>
      <c r="F6" s="192"/>
      <c r="G6" s="192"/>
      <c r="H6" s="214"/>
      <c r="I6" s="2"/>
      <c r="S6" s="153" t="s">
        <v>8</v>
      </c>
      <c r="T6" s="154"/>
      <c r="U6" s="3" t="s">
        <v>9</v>
      </c>
      <c r="V6" s="3" t="s">
        <v>9</v>
      </c>
      <c r="W6" s="3" t="s">
        <v>9</v>
      </c>
    </row>
    <row r="7" spans="2:23" ht="14.25" thickBot="1" x14ac:dyDescent="0.2">
      <c r="C7" s="159" t="s">
        <v>10</v>
      </c>
      <c r="D7" s="160"/>
      <c r="E7" s="160"/>
      <c r="F7" s="160"/>
      <c r="G7" s="160"/>
      <c r="H7" s="161"/>
      <c r="I7" s="2"/>
      <c r="S7" s="153" t="s">
        <v>11</v>
      </c>
      <c r="T7" s="154"/>
      <c r="U7" s="3" t="s">
        <v>12</v>
      </c>
      <c r="V7" s="3" t="s">
        <v>12</v>
      </c>
      <c r="W7" s="3" t="s">
        <v>12</v>
      </c>
    </row>
    <row r="9" spans="2:23" x14ac:dyDescent="0.15">
      <c r="B9" s="162" t="s">
        <v>14</v>
      </c>
      <c r="C9" s="302" t="s">
        <v>15</v>
      </c>
      <c r="D9" s="168" t="s">
        <v>16</v>
      </c>
      <c r="E9" s="168" t="s">
        <v>17</v>
      </c>
      <c r="F9" s="162" t="s">
        <v>18</v>
      </c>
      <c r="G9" s="162" t="s">
        <v>19</v>
      </c>
      <c r="H9" s="162" t="s">
        <v>179</v>
      </c>
      <c r="I9" s="162" t="s">
        <v>180</v>
      </c>
      <c r="J9" s="5" t="s">
        <v>21</v>
      </c>
      <c r="K9" s="5" t="s">
        <v>38</v>
      </c>
      <c r="L9" s="5" t="s">
        <v>38</v>
      </c>
      <c r="M9" s="5" t="s">
        <v>38</v>
      </c>
      <c r="N9" s="310" t="s">
        <v>322</v>
      </c>
      <c r="O9" s="162" t="s">
        <v>124</v>
      </c>
      <c r="P9" s="162" t="s">
        <v>125</v>
      </c>
      <c r="Q9" s="162" t="s">
        <v>48</v>
      </c>
      <c r="R9" s="162" t="s">
        <v>22</v>
      </c>
      <c r="S9" s="171" t="s">
        <v>128</v>
      </c>
      <c r="T9" s="172"/>
      <c r="U9" s="172"/>
      <c r="V9" s="172"/>
      <c r="W9" s="173"/>
    </row>
    <row r="10" spans="2:23" x14ac:dyDescent="0.15">
      <c r="B10" s="163"/>
      <c r="C10" s="303"/>
      <c r="D10" s="169"/>
      <c r="E10" s="169"/>
      <c r="F10" s="166"/>
      <c r="G10" s="166"/>
      <c r="H10" s="166"/>
      <c r="I10" s="166"/>
      <c r="J10" s="5" t="s">
        <v>129</v>
      </c>
      <c r="K10" s="5" t="s">
        <v>23</v>
      </c>
      <c r="L10" s="5" t="s">
        <v>24</v>
      </c>
      <c r="M10" s="5" t="s">
        <v>25</v>
      </c>
      <c r="N10" s="311"/>
      <c r="O10" s="163"/>
      <c r="P10" s="163"/>
      <c r="Q10" s="163"/>
      <c r="R10" s="163"/>
      <c r="S10" s="174"/>
      <c r="T10" s="175"/>
      <c r="U10" s="175"/>
      <c r="V10" s="175"/>
      <c r="W10" s="176"/>
    </row>
    <row r="11" spans="2:23" ht="55.15" customHeight="1" x14ac:dyDescent="0.15">
      <c r="B11" s="164"/>
      <c r="C11" s="304"/>
      <c r="D11" s="170"/>
      <c r="E11" s="170"/>
      <c r="F11" s="167"/>
      <c r="G11" s="167"/>
      <c r="H11" s="167"/>
      <c r="I11" s="167"/>
      <c r="J11" s="110" t="s">
        <v>133</v>
      </c>
      <c r="K11" s="110" t="s">
        <v>134</v>
      </c>
      <c r="L11" s="110" t="s">
        <v>134</v>
      </c>
      <c r="M11" s="110" t="s">
        <v>134</v>
      </c>
      <c r="N11" s="312"/>
      <c r="O11" s="164"/>
      <c r="P11" s="164"/>
      <c r="Q11" s="164"/>
      <c r="R11" s="164"/>
      <c r="S11" s="177"/>
      <c r="T11" s="178"/>
      <c r="U11" s="178"/>
      <c r="V11" s="178"/>
      <c r="W11" s="179"/>
    </row>
    <row r="12" spans="2:23" ht="45.6" customHeight="1" x14ac:dyDescent="0.15">
      <c r="B12" s="6"/>
      <c r="C12" s="6"/>
      <c r="D12" s="6"/>
      <c r="E12" s="6"/>
      <c r="F12" s="6"/>
      <c r="G12" s="6"/>
      <c r="H12" s="375" t="s">
        <v>26</v>
      </c>
      <c r="I12" s="375" t="s">
        <v>52</v>
      </c>
      <c r="J12" s="375" t="s">
        <v>27</v>
      </c>
      <c r="K12" s="375" t="s">
        <v>53</v>
      </c>
      <c r="L12" s="375" t="s">
        <v>54</v>
      </c>
      <c r="M12" s="375" t="s">
        <v>55</v>
      </c>
      <c r="N12" s="376" t="s">
        <v>173</v>
      </c>
      <c r="O12" s="377" t="s">
        <v>142</v>
      </c>
      <c r="P12" s="377" t="s">
        <v>143</v>
      </c>
      <c r="Q12" s="377" t="s">
        <v>144</v>
      </c>
      <c r="R12" s="377" t="s">
        <v>145</v>
      </c>
      <c r="S12" s="378" t="s">
        <v>14</v>
      </c>
      <c r="T12" s="375" t="s">
        <v>146</v>
      </c>
      <c r="U12" s="375" t="s">
        <v>147</v>
      </c>
      <c r="V12" s="375" t="s">
        <v>148</v>
      </c>
      <c r="W12" s="376" t="s">
        <v>337</v>
      </c>
    </row>
    <row r="13" spans="2:23" ht="14.25" thickBot="1" x14ac:dyDescent="0.2"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6"/>
      <c r="Q13" s="7"/>
      <c r="R13" s="7"/>
      <c r="S13" s="6"/>
      <c r="T13" s="6"/>
      <c r="U13" s="6"/>
      <c r="V13" s="6"/>
      <c r="W13" s="6"/>
    </row>
    <row r="14" spans="2:23" ht="14.25" thickBot="1" x14ac:dyDescent="0.2">
      <c r="B14" s="32"/>
      <c r="C14" s="82"/>
      <c r="D14" s="6"/>
      <c r="E14" s="6"/>
      <c r="F14" s="6"/>
      <c r="G14" s="6"/>
      <c r="H14" s="6"/>
      <c r="I14" s="6"/>
      <c r="J14" s="307" t="s">
        <v>338</v>
      </c>
      <c r="K14" s="308"/>
      <c r="L14" s="308"/>
      <c r="M14" s="309"/>
      <c r="N14" s="82"/>
      <c r="O14" s="33"/>
      <c r="P14" s="111"/>
      <c r="Q14" s="82"/>
      <c r="R14" s="82"/>
      <c r="S14" s="6"/>
      <c r="T14" s="6"/>
      <c r="U14" s="6"/>
      <c r="V14" s="6"/>
      <c r="W14" s="6"/>
    </row>
    <row r="15" spans="2:23" ht="14.25" thickBot="1" x14ac:dyDescent="0.2">
      <c r="B15" s="32"/>
      <c r="C15" s="82"/>
      <c r="D15" s="6"/>
      <c r="E15" s="6"/>
      <c r="F15" s="6"/>
      <c r="G15" s="6"/>
      <c r="H15" s="6"/>
      <c r="I15" s="6"/>
      <c r="J15" s="89" t="s">
        <v>185</v>
      </c>
      <c r="K15" s="89" t="s">
        <v>185</v>
      </c>
      <c r="L15" s="89" t="s">
        <v>185</v>
      </c>
      <c r="M15" s="89" t="s">
        <v>185</v>
      </c>
      <c r="N15" s="82"/>
      <c r="O15" s="33"/>
      <c r="P15" s="111"/>
      <c r="Q15" s="82"/>
      <c r="R15" s="82"/>
      <c r="S15" s="6"/>
      <c r="T15" s="6"/>
      <c r="U15" s="6"/>
      <c r="V15" s="6"/>
      <c r="W15" s="6"/>
    </row>
    <row r="16" spans="2:23" ht="62.45" customHeight="1" thickBot="1" x14ac:dyDescent="0.3">
      <c r="B16" s="88" t="s">
        <v>28</v>
      </c>
      <c r="C16" s="53" t="s">
        <v>75</v>
      </c>
      <c r="D16" s="38" t="s">
        <v>29</v>
      </c>
      <c r="E16" s="89" t="s">
        <v>76</v>
      </c>
      <c r="F16" s="89"/>
      <c r="G16" s="89"/>
      <c r="H16" s="384">
        <f>'[1]1実績予想売上関係'!I48</f>
        <v>0</v>
      </c>
      <c r="I16" s="112">
        <f>'[1]1実績予想売上関係'!J48</f>
        <v>1500</v>
      </c>
      <c r="J16" s="112">
        <f>'[1]1実績予想売上関係'!K48</f>
        <v>855</v>
      </c>
      <c r="K16" s="112">
        <f>'[1]1実績予想売上関係'!L48</f>
        <v>69</v>
      </c>
      <c r="L16" s="112">
        <f>'[1]1実績予想売上関係'!M48</f>
        <v>47</v>
      </c>
      <c r="M16" s="112">
        <f>'[1]1実績予想売上関係'!N48</f>
        <v>29</v>
      </c>
      <c r="N16" s="56">
        <f>SUM(J16:M16)</f>
        <v>1000</v>
      </c>
      <c r="O16" s="380">
        <f>IF(H16="","",+N16-H16)</f>
        <v>1000</v>
      </c>
      <c r="P16" s="381" t="str">
        <f>IF(OR(H16=0,O16=""),"",ROUND(O16/H16,3))</f>
        <v/>
      </c>
      <c r="Q16" s="382">
        <f>+N16-I16</f>
        <v>-500</v>
      </c>
      <c r="R16" s="383">
        <f>IF(OR(I16="",Q16=""),"",ROUND(Q16/I16,2))</f>
        <v>-0.33</v>
      </c>
      <c r="S16" s="428" t="str">
        <f>'[1]1実績予想売上関係'!T48</f>
        <v>1
2</v>
      </c>
      <c r="T16" s="429" t="str">
        <f>'[1]1実績予想売上関係'!U48</f>
        <v>予算設定
実績</v>
      </c>
      <c r="U16" s="429" t="str">
        <f>'[1]1実績予想売上関係'!V48</f>
        <v>具体的戦略欠如
Ｚ社キャンセル</v>
      </c>
      <c r="V16" s="429" t="str">
        <f>'[1]1実績予想売上関係'!W48</f>
        <v>Ｗ社・Ｚ社の購買責任者と直接交渉を行なう</v>
      </c>
      <c r="W16" s="429" t="str">
        <f>'[1]1実績予想売上関係'!X48</f>
        <v>具体的戦略・行動計画を多角的に営業部門全体でつめる</v>
      </c>
    </row>
    <row r="17" spans="2:23" ht="14.25" thickBot="1" x14ac:dyDescent="0.2">
      <c r="J17" s="89" t="s">
        <v>185</v>
      </c>
      <c r="K17" s="89" t="s">
        <v>185</v>
      </c>
      <c r="L17" s="89" t="s">
        <v>185</v>
      </c>
      <c r="M17" s="89" t="s">
        <v>185</v>
      </c>
    </row>
    <row r="18" spans="2:23" ht="13.9" customHeight="1" thickBot="1" x14ac:dyDescent="0.2">
      <c r="J18" s="307" t="s">
        <v>339</v>
      </c>
      <c r="K18" s="308"/>
      <c r="L18" s="308"/>
      <c r="M18" s="309"/>
    </row>
    <row r="19" spans="2:23" ht="14.25" thickBot="1" x14ac:dyDescent="0.2"/>
    <row r="20" spans="2:23" ht="19.5" thickBot="1" x14ac:dyDescent="0.2">
      <c r="B20" s="305" t="s">
        <v>340</v>
      </c>
      <c r="C20" s="306"/>
    </row>
    <row r="21" spans="2:23" ht="14.25" thickBot="1" x14ac:dyDescent="0.2"/>
    <row r="22" spans="2:23" ht="33.6" customHeight="1" thickBot="1" x14ac:dyDescent="0.25">
      <c r="B22" s="88" t="s">
        <v>30</v>
      </c>
      <c r="C22" s="60" t="s">
        <v>341</v>
      </c>
      <c r="D22" s="38" t="s">
        <v>29</v>
      </c>
      <c r="E22" s="89" t="s">
        <v>76</v>
      </c>
      <c r="F22" s="89"/>
      <c r="G22" s="89"/>
      <c r="H22" s="368">
        <v>0</v>
      </c>
      <c r="I22" s="384">
        <v>0</v>
      </c>
      <c r="J22" s="368">
        <v>0</v>
      </c>
      <c r="K22" s="384">
        <f>+J25</f>
        <v>345</v>
      </c>
      <c r="L22" s="384">
        <f t="shared" ref="L22:M22" si="0">+K25</f>
        <v>326</v>
      </c>
      <c r="M22" s="384">
        <f t="shared" si="0"/>
        <v>329</v>
      </c>
      <c r="N22" s="385">
        <f>+J22</f>
        <v>0</v>
      </c>
      <c r="O22" s="380">
        <f>IF(H22="","",+N22-H22)</f>
        <v>0</v>
      </c>
      <c r="P22" s="386" t="str">
        <f>IF(OR(H22=0,O22=""),"",ROUND(O22/H22,3))</f>
        <v/>
      </c>
      <c r="Q22" s="382">
        <f>+N22-I22</f>
        <v>0</v>
      </c>
      <c r="R22" s="383" t="str">
        <f>IF(OR(I22=0,Q22=0),"",ROUND(Q22/I22,2))</f>
        <v/>
      </c>
      <c r="S22" s="61"/>
      <c r="T22" s="113" t="s">
        <v>9</v>
      </c>
      <c r="U22" s="113" t="s">
        <v>9</v>
      </c>
      <c r="V22" s="113" t="s">
        <v>9</v>
      </c>
      <c r="W22" s="113" t="s">
        <v>9</v>
      </c>
    </row>
    <row r="23" spans="2:23" ht="21.75" thickBot="1" x14ac:dyDescent="0.25">
      <c r="B23" s="88" t="s">
        <v>33</v>
      </c>
      <c r="C23" s="63" t="s">
        <v>342</v>
      </c>
      <c r="D23" s="38" t="s">
        <v>29</v>
      </c>
      <c r="E23" s="89" t="s">
        <v>76</v>
      </c>
      <c r="F23" s="89"/>
      <c r="G23" s="89"/>
      <c r="H23" s="368">
        <v>0</v>
      </c>
      <c r="I23" s="368">
        <v>1600</v>
      </c>
      <c r="J23" s="368">
        <v>1200</v>
      </c>
      <c r="K23" s="450">
        <v>50</v>
      </c>
      <c r="L23" s="451">
        <v>50</v>
      </c>
      <c r="M23" s="368">
        <v>33</v>
      </c>
      <c r="N23" s="379">
        <f>SUM(J23:M23)</f>
        <v>1333</v>
      </c>
      <c r="O23" s="380">
        <f>IF(H23="","",+N23-H23)</f>
        <v>1333</v>
      </c>
      <c r="P23" s="386" t="str">
        <f>IF(OR(H23=0,O23=""),"",ROUND(O23/H23,3))</f>
        <v/>
      </c>
      <c r="Q23" s="382">
        <f>+N23-I23</f>
        <v>-267</v>
      </c>
      <c r="R23" s="383">
        <f>IF(OR(I23="",Q23=""),"",ROUND(Q23/I23,2))</f>
        <v>-0.17</v>
      </c>
      <c r="S23" s="48"/>
      <c r="T23" s="113" t="s">
        <v>9</v>
      </c>
      <c r="U23" s="113" t="s">
        <v>9</v>
      </c>
      <c r="V23" s="113" t="s">
        <v>9</v>
      </c>
      <c r="W23" s="113" t="s">
        <v>9</v>
      </c>
    </row>
    <row r="24" spans="2:23" ht="21.75" thickBot="1" x14ac:dyDescent="0.25">
      <c r="B24" s="88" t="s">
        <v>343</v>
      </c>
      <c r="C24" s="63" t="s">
        <v>339</v>
      </c>
      <c r="D24" s="38" t="s">
        <v>29</v>
      </c>
      <c r="E24" s="89" t="s">
        <v>76</v>
      </c>
      <c r="F24" s="89"/>
      <c r="G24" s="89"/>
      <c r="H24" s="384">
        <f>+H16</f>
        <v>0</v>
      </c>
      <c r="I24" s="54">
        <f>+I16</f>
        <v>1500</v>
      </c>
      <c r="J24" s="54">
        <f t="shared" ref="J24:M24" si="1">+J16</f>
        <v>855</v>
      </c>
      <c r="K24" s="54">
        <f t="shared" si="1"/>
        <v>69</v>
      </c>
      <c r="L24" s="54">
        <f t="shared" si="1"/>
        <v>47</v>
      </c>
      <c r="M24" s="54">
        <f t="shared" si="1"/>
        <v>29</v>
      </c>
      <c r="N24" s="114">
        <f>SUM(J24:M24)</f>
        <v>1000</v>
      </c>
      <c r="O24" s="380">
        <f>IF(H24="","",+N24-H24)</f>
        <v>1000</v>
      </c>
      <c r="P24" s="386" t="str">
        <f>IF(OR(H24=0,O24=0),"",ROUND(O24/H24,3))</f>
        <v/>
      </c>
      <c r="Q24" s="382">
        <f>+N24-I24</f>
        <v>-500</v>
      </c>
      <c r="R24" s="383">
        <f>IF(OR(I24="",Q24=""),"",ROUND(Q24/I24,2))</f>
        <v>-0.33</v>
      </c>
      <c r="S24" s="61"/>
      <c r="T24" s="113" t="s">
        <v>9</v>
      </c>
      <c r="U24" s="113" t="s">
        <v>9</v>
      </c>
      <c r="V24" s="113" t="s">
        <v>9</v>
      </c>
      <c r="W24" s="113" t="s">
        <v>9</v>
      </c>
    </row>
    <row r="25" spans="2:23" ht="21.75" thickBot="1" x14ac:dyDescent="0.25">
      <c r="B25" s="88" t="s">
        <v>344</v>
      </c>
      <c r="C25" s="63" t="s">
        <v>345</v>
      </c>
      <c r="D25" s="38" t="s">
        <v>29</v>
      </c>
      <c r="E25" s="89" t="s">
        <v>76</v>
      </c>
      <c r="F25" s="89"/>
      <c r="G25" s="89"/>
      <c r="H25" s="384">
        <f>+H22+H23-H24</f>
        <v>0</v>
      </c>
      <c r="I25" s="384">
        <f>+I22+I23-I24</f>
        <v>100</v>
      </c>
      <c r="J25" s="384">
        <f>+J22+J23-J24</f>
        <v>345</v>
      </c>
      <c r="K25" s="384">
        <f>+K22+K23-K24</f>
        <v>326</v>
      </c>
      <c r="L25" s="384">
        <f t="shared" ref="L25:N25" si="2">+L22+L23-L24</f>
        <v>329</v>
      </c>
      <c r="M25" s="390">
        <f t="shared" si="2"/>
        <v>333</v>
      </c>
      <c r="N25" s="379">
        <f t="shared" si="2"/>
        <v>333</v>
      </c>
      <c r="O25" s="380">
        <f>IF(H25="","",+N25-H25)</f>
        <v>333</v>
      </c>
      <c r="P25" s="386" t="str">
        <f>IF(OR(H25=0,O25=""),"",ROUND(O25/H25,3))</f>
        <v/>
      </c>
      <c r="Q25" s="382">
        <f>+N25-I25</f>
        <v>233</v>
      </c>
      <c r="R25" s="383">
        <f>IF(OR(I25="",Q25=""),"",ROUND(Q25/I25,2))</f>
        <v>2.33</v>
      </c>
      <c r="S25" s="48"/>
      <c r="T25" s="113" t="s">
        <v>9</v>
      </c>
      <c r="U25" s="113" t="s">
        <v>9</v>
      </c>
      <c r="V25" s="113" t="s">
        <v>9</v>
      </c>
      <c r="W25" s="113" t="s">
        <v>9</v>
      </c>
    </row>
    <row r="26" spans="2:23" ht="14.25" thickBot="1" x14ac:dyDescent="0.2">
      <c r="N26" s="91" t="s">
        <v>185</v>
      </c>
    </row>
    <row r="27" spans="2:23" ht="19.5" thickBot="1" x14ac:dyDescent="0.2">
      <c r="B27" s="305" t="s">
        <v>346</v>
      </c>
      <c r="C27" s="306"/>
      <c r="N27" s="182" t="s">
        <v>347</v>
      </c>
      <c r="O27" s="183"/>
      <c r="P27" s="184"/>
    </row>
    <row r="28" spans="2:23" ht="14.25" thickBot="1" x14ac:dyDescent="0.2"/>
    <row r="29" spans="2:23" ht="21.75" thickBot="1" x14ac:dyDescent="0.25">
      <c r="B29" s="88" t="s">
        <v>201</v>
      </c>
      <c r="C29" s="60" t="s">
        <v>348</v>
      </c>
      <c r="D29" s="38" t="s">
        <v>77</v>
      </c>
      <c r="E29" s="89" t="s">
        <v>78</v>
      </c>
      <c r="F29" s="89"/>
      <c r="G29" s="89"/>
      <c r="H29" s="368">
        <v>0</v>
      </c>
      <c r="I29" s="384">
        <v>0</v>
      </c>
      <c r="J29" s="368">
        <v>0</v>
      </c>
      <c r="K29" s="384">
        <f>+J32</f>
        <v>20720</v>
      </c>
      <c r="L29" s="384">
        <f t="shared" ref="L29:M29" si="3">+K32</f>
        <v>19579</v>
      </c>
      <c r="M29" s="384">
        <f t="shared" si="3"/>
        <v>19759</v>
      </c>
      <c r="N29" s="385">
        <f>+J29</f>
        <v>0</v>
      </c>
      <c r="O29" s="380">
        <f>IF(H29="","",+N29-H29)</f>
        <v>0</v>
      </c>
      <c r="P29" s="386" t="str">
        <f>IF(OR(H29=0,O29=""),"",ROUND(O29/H29,3))</f>
        <v/>
      </c>
      <c r="Q29" s="382">
        <f>+N29-I29</f>
        <v>0</v>
      </c>
      <c r="R29" s="383" t="str">
        <f>IF(OR(I29=0,Q29=0),"",ROUND(Q29/I29,2))</f>
        <v/>
      </c>
      <c r="S29" s="61"/>
      <c r="T29" s="113" t="s">
        <v>9</v>
      </c>
      <c r="U29" s="113" t="s">
        <v>9</v>
      </c>
      <c r="V29" s="113" t="s">
        <v>9</v>
      </c>
      <c r="W29" s="113" t="s">
        <v>9</v>
      </c>
    </row>
    <row r="30" spans="2:23" ht="21.75" thickBot="1" x14ac:dyDescent="0.25">
      <c r="B30" s="88" t="s">
        <v>202</v>
      </c>
      <c r="C30" s="60" t="s">
        <v>349</v>
      </c>
      <c r="D30" s="38" t="s">
        <v>77</v>
      </c>
      <c r="E30" s="89" t="s">
        <v>78</v>
      </c>
      <c r="F30" s="89"/>
      <c r="G30" s="89"/>
      <c r="H30" s="368">
        <v>0</v>
      </c>
      <c r="I30" s="368">
        <v>96000</v>
      </c>
      <c r="J30" s="368">
        <v>72085</v>
      </c>
      <c r="K30" s="450">
        <v>3003</v>
      </c>
      <c r="L30" s="451">
        <v>3003</v>
      </c>
      <c r="M30" s="368">
        <v>1982</v>
      </c>
      <c r="N30" s="379">
        <f>SUM(J30:M30)</f>
        <v>80073</v>
      </c>
      <c r="O30" s="380">
        <f>IF(H30="","",+N30-H30)</f>
        <v>80073</v>
      </c>
      <c r="P30" s="386" t="str">
        <f>IF(OR(H30=0,O30=""),"",ROUND(O30/H30,3))</f>
        <v/>
      </c>
      <c r="Q30" s="382">
        <f>+N30-I30</f>
        <v>-15927</v>
      </c>
      <c r="R30" s="383">
        <f>IF(OR(I30="",Q30=""),"",ROUND(Q30/I30,2))</f>
        <v>-0.17</v>
      </c>
      <c r="S30" s="48"/>
      <c r="T30" s="113" t="s">
        <v>9</v>
      </c>
      <c r="U30" s="113" t="s">
        <v>9</v>
      </c>
      <c r="V30" s="113" t="s">
        <v>9</v>
      </c>
      <c r="W30" s="113" t="s">
        <v>9</v>
      </c>
    </row>
    <row r="31" spans="2:23" ht="21.75" thickBot="1" x14ac:dyDescent="0.25">
      <c r="B31" s="88" t="s">
        <v>203</v>
      </c>
      <c r="C31" s="63" t="s">
        <v>350</v>
      </c>
      <c r="D31" s="38" t="s">
        <v>77</v>
      </c>
      <c r="E31" s="89" t="s">
        <v>78</v>
      </c>
      <c r="F31" s="89"/>
      <c r="G31" s="89"/>
      <c r="H31" s="384">
        <f>+H23</f>
        <v>0</v>
      </c>
      <c r="I31" s="54">
        <v>90000</v>
      </c>
      <c r="J31" s="54">
        <v>51365</v>
      </c>
      <c r="K31" s="54">
        <v>4144</v>
      </c>
      <c r="L31" s="54">
        <v>2823</v>
      </c>
      <c r="M31" s="54">
        <v>1741</v>
      </c>
      <c r="N31" s="114">
        <f>SUM(J31:M31)</f>
        <v>60073</v>
      </c>
      <c r="O31" s="380">
        <f>IF(H31="","",+N31-H31)</f>
        <v>60073</v>
      </c>
      <c r="P31" s="386" t="str">
        <f>IF(OR(H31=0,O31=0),"",ROUND(O31/H31,3))</f>
        <v/>
      </c>
      <c r="Q31" s="382">
        <f>+N31-I31</f>
        <v>-29927</v>
      </c>
      <c r="R31" s="383">
        <f>IF(OR(I31="",Q31=""),"",ROUND(Q31/I31,2))</f>
        <v>-0.33</v>
      </c>
      <c r="S31" s="61"/>
      <c r="T31" s="113" t="s">
        <v>9</v>
      </c>
      <c r="U31" s="113" t="s">
        <v>9</v>
      </c>
      <c r="V31" s="113" t="s">
        <v>9</v>
      </c>
      <c r="W31" s="113" t="s">
        <v>9</v>
      </c>
    </row>
    <row r="32" spans="2:23" ht="30" customHeight="1" thickBot="1" x14ac:dyDescent="0.25">
      <c r="B32" s="88" t="s">
        <v>205</v>
      </c>
      <c r="C32" s="115" t="s">
        <v>351</v>
      </c>
      <c r="D32" s="38" t="s">
        <v>77</v>
      </c>
      <c r="E32" s="89" t="s">
        <v>78</v>
      </c>
      <c r="F32" s="116"/>
      <c r="G32" s="116"/>
      <c r="H32" s="384">
        <f>+H29+H30-H31</f>
        <v>0</v>
      </c>
      <c r="I32" s="384">
        <f>+I29+I30-I31</f>
        <v>6000</v>
      </c>
      <c r="J32" s="384">
        <f>+J29+J30-J31</f>
        <v>20720</v>
      </c>
      <c r="K32" s="384">
        <f>+K29+K30-K31</f>
        <v>19579</v>
      </c>
      <c r="L32" s="384">
        <f t="shared" ref="L32:N32" si="4">+L29+L30-L31</f>
        <v>19759</v>
      </c>
      <c r="M32" s="390">
        <f t="shared" si="4"/>
        <v>20000</v>
      </c>
      <c r="N32" s="379">
        <f t="shared" si="4"/>
        <v>20000</v>
      </c>
      <c r="O32" s="380">
        <f>IF(H32="","",+N32-H32)</f>
        <v>20000</v>
      </c>
      <c r="P32" s="386" t="str">
        <f>IF(OR(H32=0,O32=""),"",ROUND(O32/H32,3))</f>
        <v/>
      </c>
      <c r="Q32" s="382">
        <f>+N32-I32</f>
        <v>14000</v>
      </c>
      <c r="R32" s="383">
        <f>IF(OR(I32=0,Q32=0),"",ROUND(Q32/I32,2))</f>
        <v>2.33</v>
      </c>
      <c r="S32" s="49"/>
      <c r="T32" s="113" t="s">
        <v>9</v>
      </c>
      <c r="U32" s="113" t="s">
        <v>9</v>
      </c>
      <c r="V32" s="113" t="s">
        <v>9</v>
      </c>
      <c r="W32" s="113" t="s">
        <v>9</v>
      </c>
    </row>
    <row r="33" spans="2:23" ht="14.25" thickBot="1" x14ac:dyDescent="0.2"/>
    <row r="34" spans="2:23" ht="19.5" thickBot="1" x14ac:dyDescent="0.2">
      <c r="B34" s="305" t="s">
        <v>346</v>
      </c>
      <c r="C34" s="306"/>
    </row>
    <row r="35" spans="2:23" ht="14.25" thickBot="1" x14ac:dyDescent="0.2"/>
    <row r="36" spans="2:23" ht="21.75" thickBot="1" x14ac:dyDescent="0.25">
      <c r="B36" s="88" t="s">
        <v>201</v>
      </c>
      <c r="C36" s="117" t="s">
        <v>352</v>
      </c>
      <c r="D36" s="38" t="s">
        <v>77</v>
      </c>
      <c r="E36" s="89" t="s">
        <v>78</v>
      </c>
      <c r="F36" s="89"/>
      <c r="G36" s="89"/>
      <c r="H36" s="430" t="str">
        <f t="shared" ref="H36:J39" si="5">IF(OR(H22=0,H22=""),"",ROUND(H29/H22,2))</f>
        <v/>
      </c>
      <c r="I36" s="384" t="str">
        <f>IF(OR(I22=0,I22=""),"",ROUND(I29/I22,2))</f>
        <v/>
      </c>
      <c r="J36" s="430" t="str">
        <f>IF(OR(J22=0,J22=""),"",ROUND(J29/J22,2))</f>
        <v/>
      </c>
      <c r="K36" s="430">
        <f>IF(OR(K22=0,K22=""),"",ROUND(K29/K22,2))</f>
        <v>60.06</v>
      </c>
      <c r="L36" s="430">
        <f t="shared" ref="K36:N39" si="6">IF(OR(L22=0,L22=""),"",ROUND(L29/L22,2))</f>
        <v>60.06</v>
      </c>
      <c r="M36" s="430">
        <f t="shared" si="6"/>
        <v>60.06</v>
      </c>
      <c r="N36" s="430" t="str">
        <f t="shared" si="6"/>
        <v/>
      </c>
      <c r="O36" s="380" t="str">
        <f>IF(H36="","",+N36-H36)</f>
        <v/>
      </c>
      <c r="P36" s="386" t="str">
        <f>IF(OR(H36=0,O36=""),"",ROUND(O36/H36,3))</f>
        <v/>
      </c>
      <c r="Q36" s="431" t="str">
        <f>IF(OR(N36="",I36=""),"",+N36-I36)</f>
        <v/>
      </c>
      <c r="R36" s="432" t="str">
        <f>IF(OR(I36="",Q36=""),"",ROUND(Q36/I36,4))</f>
        <v/>
      </c>
      <c r="S36" s="61"/>
      <c r="T36" s="113" t="s">
        <v>9</v>
      </c>
      <c r="U36" s="113" t="s">
        <v>9</v>
      </c>
      <c r="V36" s="113" t="s">
        <v>9</v>
      </c>
      <c r="W36" s="113" t="s">
        <v>9</v>
      </c>
    </row>
    <row r="37" spans="2:23" ht="21.75" thickBot="1" x14ac:dyDescent="0.25">
      <c r="B37" s="88" t="s">
        <v>202</v>
      </c>
      <c r="C37" s="117" t="s">
        <v>353</v>
      </c>
      <c r="D37" s="38" t="s">
        <v>77</v>
      </c>
      <c r="E37" s="89" t="s">
        <v>78</v>
      </c>
      <c r="F37" s="89"/>
      <c r="G37" s="89"/>
      <c r="H37" s="430" t="str">
        <f t="shared" si="5"/>
        <v/>
      </c>
      <c r="I37" s="430">
        <f t="shared" si="5"/>
        <v>60</v>
      </c>
      <c r="J37" s="430">
        <f t="shared" si="5"/>
        <v>60.07</v>
      </c>
      <c r="K37" s="430">
        <f t="shared" si="6"/>
        <v>60.06</v>
      </c>
      <c r="L37" s="430">
        <f t="shared" si="6"/>
        <v>60.06</v>
      </c>
      <c r="M37" s="430">
        <f t="shared" si="6"/>
        <v>60.06</v>
      </c>
      <c r="N37" s="430">
        <f t="shared" si="6"/>
        <v>60.07</v>
      </c>
      <c r="O37" s="380" t="str">
        <f>IF(H37="","",+N37-H37)</f>
        <v/>
      </c>
      <c r="P37" s="386" t="str">
        <f>IF(OR(H37=0,O37=""),"",ROUND(O37/H37,3))</f>
        <v/>
      </c>
      <c r="Q37" s="431">
        <f>IF(OR(N37="",I37=""),"",+N37-I37)</f>
        <v>7.0000000000000284E-2</v>
      </c>
      <c r="R37" s="432">
        <f>IF(OR(I37="",Q37=""),"",ROUND(Q37/I37,4))</f>
        <v>1.1999999999999999E-3</v>
      </c>
      <c r="S37" s="48"/>
      <c r="T37" s="113" t="s">
        <v>9</v>
      </c>
      <c r="U37" s="113" t="s">
        <v>9</v>
      </c>
      <c r="V37" s="113" t="s">
        <v>9</v>
      </c>
      <c r="W37" s="113" t="s">
        <v>9</v>
      </c>
    </row>
    <row r="38" spans="2:23" ht="21.75" thickBot="1" x14ac:dyDescent="0.25">
      <c r="B38" s="88" t="s">
        <v>203</v>
      </c>
      <c r="C38" s="118" t="s">
        <v>354</v>
      </c>
      <c r="D38" s="38" t="s">
        <v>77</v>
      </c>
      <c r="E38" s="89" t="s">
        <v>78</v>
      </c>
      <c r="F38" s="89"/>
      <c r="G38" s="89"/>
      <c r="H38" s="430" t="str">
        <f t="shared" si="5"/>
        <v/>
      </c>
      <c r="I38" s="430">
        <f t="shared" si="5"/>
        <v>60</v>
      </c>
      <c r="J38" s="430">
        <f t="shared" si="5"/>
        <v>60.08</v>
      </c>
      <c r="K38" s="430">
        <f t="shared" si="6"/>
        <v>60.06</v>
      </c>
      <c r="L38" s="430">
        <f t="shared" si="6"/>
        <v>60.06</v>
      </c>
      <c r="M38" s="430">
        <f t="shared" si="6"/>
        <v>60.03</v>
      </c>
      <c r="N38" s="430">
        <f t="shared" si="6"/>
        <v>60.07</v>
      </c>
      <c r="O38" s="380" t="str">
        <f>IF(H38="","",+N38-H38)</f>
        <v/>
      </c>
      <c r="P38" s="386" t="str">
        <f>IF(OR(H38="",O38=0),"",ROUND(O38/H38,3))</f>
        <v/>
      </c>
      <c r="Q38" s="431">
        <f t="shared" ref="Q38:Q39" si="7">IF(OR(N38="",I38=""),"",+N38-I38)</f>
        <v>7.0000000000000284E-2</v>
      </c>
      <c r="R38" s="432">
        <f t="shared" ref="R38:R39" si="8">IF(OR(I38="",Q38=""),"",ROUND(Q38/I38,4))</f>
        <v>1.1999999999999999E-3</v>
      </c>
      <c r="S38" s="61"/>
      <c r="T38" s="113" t="s">
        <v>9</v>
      </c>
      <c r="U38" s="113" t="s">
        <v>9</v>
      </c>
      <c r="V38" s="113" t="s">
        <v>9</v>
      </c>
      <c r="W38" s="113" t="s">
        <v>9</v>
      </c>
    </row>
    <row r="39" spans="2:23" ht="21.75" thickBot="1" x14ac:dyDescent="0.25">
      <c r="B39" s="88" t="s">
        <v>205</v>
      </c>
      <c r="C39" s="119" t="s">
        <v>355</v>
      </c>
      <c r="D39" s="38" t="s">
        <v>77</v>
      </c>
      <c r="E39" s="89" t="s">
        <v>78</v>
      </c>
      <c r="F39" s="116"/>
      <c r="G39" s="116"/>
      <c r="H39" s="430" t="str">
        <f t="shared" si="5"/>
        <v/>
      </c>
      <c r="I39" s="430">
        <f t="shared" si="5"/>
        <v>60</v>
      </c>
      <c r="J39" s="430">
        <f t="shared" si="5"/>
        <v>60.06</v>
      </c>
      <c r="K39" s="430">
        <f t="shared" si="6"/>
        <v>60.06</v>
      </c>
      <c r="L39" s="430">
        <f t="shared" si="6"/>
        <v>60.06</v>
      </c>
      <c r="M39" s="430">
        <f t="shared" si="6"/>
        <v>60.06</v>
      </c>
      <c r="N39" s="120">
        <f t="shared" si="6"/>
        <v>60.06</v>
      </c>
      <c r="O39" s="380" t="str">
        <f>IF(H39="","",+N39-H39)</f>
        <v/>
      </c>
      <c r="P39" s="386" t="str">
        <f>IF(OR(H39=0,O39=""),"",ROUND(O39/H39,3))</f>
        <v/>
      </c>
      <c r="Q39" s="431">
        <f t="shared" si="7"/>
        <v>6.0000000000002274E-2</v>
      </c>
      <c r="R39" s="432">
        <f t="shared" si="8"/>
        <v>1E-3</v>
      </c>
      <c r="S39" s="49"/>
      <c r="T39" s="113" t="s">
        <v>9</v>
      </c>
      <c r="U39" s="113" t="s">
        <v>9</v>
      </c>
      <c r="V39" s="113" t="s">
        <v>9</v>
      </c>
      <c r="W39" s="113" t="s">
        <v>9</v>
      </c>
    </row>
    <row r="40" spans="2:23" ht="14.25" thickBot="1" x14ac:dyDescent="0.2">
      <c r="N40" s="91" t="s">
        <v>185</v>
      </c>
    </row>
    <row r="41" spans="2:23" ht="14.25" thickBot="1" x14ac:dyDescent="0.2">
      <c r="N41" s="182" t="s">
        <v>347</v>
      </c>
      <c r="O41" s="183"/>
      <c r="P41" s="184"/>
    </row>
  </sheetData>
  <mergeCells count="28">
    <mergeCell ref="B34:C34"/>
    <mergeCell ref="N41:P41"/>
    <mergeCell ref="R9:R11"/>
    <mergeCell ref="S9:W11"/>
    <mergeCell ref="J14:M14"/>
    <mergeCell ref="J18:M18"/>
    <mergeCell ref="B20:C20"/>
    <mergeCell ref="B27:C27"/>
    <mergeCell ref="N27:P27"/>
    <mergeCell ref="H9:H11"/>
    <mergeCell ref="I9:I11"/>
    <mergeCell ref="N9:N11"/>
    <mergeCell ref="O9:O11"/>
    <mergeCell ref="P9:P11"/>
    <mergeCell ref="Q9:Q11"/>
    <mergeCell ref="B9:B11"/>
    <mergeCell ref="C9:C11"/>
    <mergeCell ref="D9:D11"/>
    <mergeCell ref="E9:E11"/>
    <mergeCell ref="F9:F11"/>
    <mergeCell ref="G9:G11"/>
    <mergeCell ref="C7:H7"/>
    <mergeCell ref="S7:T7"/>
    <mergeCell ref="B2:W2"/>
    <mergeCell ref="S4:T4"/>
    <mergeCell ref="S5:T5"/>
    <mergeCell ref="D6:H6"/>
    <mergeCell ref="S6:T6"/>
  </mergeCells>
  <phoneticPr fontId="2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Z104"/>
  <sheetViews>
    <sheetView topLeftCell="X70" workbookViewId="0">
      <selection activeCell="Z75" sqref="Z75"/>
    </sheetView>
  </sheetViews>
  <sheetFormatPr defaultRowHeight="13.5" x14ac:dyDescent="0.15"/>
  <cols>
    <col min="1" max="1" width="2.25" customWidth="1"/>
    <col min="2" max="2" width="2.875" customWidth="1"/>
    <col min="3" max="3" width="3.125" customWidth="1"/>
    <col min="4" max="4" width="32.625" customWidth="1"/>
    <col min="5" max="6" width="4.875" customWidth="1"/>
    <col min="7" max="8" width="3.5" customWidth="1"/>
    <col min="9" max="9" width="10.5" customWidth="1"/>
    <col min="10" max="10" width="10.875" customWidth="1"/>
    <col min="11" max="11" width="12.75" customWidth="1"/>
    <col min="12" max="12" width="10.875" customWidth="1"/>
    <col min="13" max="13" width="11.125" customWidth="1"/>
    <col min="14" max="14" width="11.75" customWidth="1"/>
    <col min="15" max="15" width="10.625" customWidth="1"/>
    <col min="16" max="16" width="11.125" customWidth="1"/>
    <col min="17" max="17" width="12.75" customWidth="1"/>
    <col min="18" max="18" width="9" customWidth="1"/>
    <col min="19" max="19" width="9.875" customWidth="1"/>
    <col min="20" max="20" width="15" customWidth="1"/>
    <col min="21" max="21" width="10.25" customWidth="1"/>
    <col min="22" max="22" width="3.75" customWidth="1"/>
    <col min="23" max="23" width="7.125" customWidth="1"/>
    <col min="24" max="26" width="11.25" customWidth="1"/>
    <col min="27" max="27" width="15.5" customWidth="1"/>
  </cols>
  <sheetData>
    <row r="2" spans="3:26" ht="24" x14ac:dyDescent="0.15">
      <c r="C2" s="155" t="s">
        <v>579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</row>
    <row r="3" spans="3:26" ht="11.45" customHeight="1" thickBot="1" x14ac:dyDescent="0.2"/>
    <row r="4" spans="3:26" ht="18" thickBot="1" x14ac:dyDescent="0.2">
      <c r="D4" s="1" t="s">
        <v>0</v>
      </c>
      <c r="E4" s="367" t="s">
        <v>1</v>
      </c>
      <c r="F4" s="156"/>
      <c r="G4" s="156"/>
      <c r="H4" s="157"/>
      <c r="I4" s="158"/>
      <c r="J4" s="2"/>
      <c r="K4" s="2"/>
      <c r="L4" s="2"/>
      <c r="V4" s="315" t="s">
        <v>2</v>
      </c>
      <c r="W4" s="316"/>
      <c r="X4" s="67" t="s">
        <v>100</v>
      </c>
      <c r="Y4" s="67" t="s">
        <v>460</v>
      </c>
      <c r="Z4" s="67" t="s">
        <v>461</v>
      </c>
    </row>
    <row r="5" spans="3:26" ht="18" thickBot="1" x14ac:dyDescent="0.2">
      <c r="D5" s="1" t="s">
        <v>462</v>
      </c>
      <c r="E5" s="367" t="s">
        <v>463</v>
      </c>
      <c r="F5" s="156"/>
      <c r="G5" s="156"/>
      <c r="H5" s="157"/>
      <c r="I5" s="158"/>
      <c r="J5" s="2"/>
      <c r="K5" s="2"/>
      <c r="L5" s="2"/>
      <c r="M5" s="121" t="s">
        <v>464</v>
      </c>
      <c r="O5" t="s">
        <v>465</v>
      </c>
      <c r="V5" s="153" t="s">
        <v>466</v>
      </c>
      <c r="W5" s="154"/>
      <c r="X5" s="3" t="s">
        <v>467</v>
      </c>
      <c r="Y5" s="3" t="s">
        <v>468</v>
      </c>
      <c r="Z5" s="3" t="s">
        <v>469</v>
      </c>
    </row>
    <row r="6" spans="3:26" ht="18" thickBot="1" x14ac:dyDescent="0.25">
      <c r="D6" s="4" t="s">
        <v>470</v>
      </c>
      <c r="E6" s="152" t="s">
        <v>471</v>
      </c>
      <c r="F6" s="152"/>
      <c r="G6" s="152"/>
      <c r="H6" s="152"/>
      <c r="I6" s="152"/>
      <c r="J6" s="2"/>
      <c r="K6" s="2"/>
      <c r="L6" s="2"/>
      <c r="M6" s="448">
        <v>0.08</v>
      </c>
      <c r="O6" s="369">
        <v>2</v>
      </c>
      <c r="P6" s="433" t="str">
        <f>IF($O6=1,"末締翌月末振込入金",IF($O6=2,"末締翌々月末振込入金",IF($O6=3,"末締翌々々月末振込入金","")))</f>
        <v>末締翌々月末振込入金</v>
      </c>
      <c r="Q6" s="313"/>
      <c r="R6" s="313"/>
      <c r="S6" s="313"/>
      <c r="T6" s="314"/>
      <c r="V6" s="153" t="s">
        <v>472</v>
      </c>
      <c r="W6" s="154"/>
      <c r="X6" s="3" t="s">
        <v>473</v>
      </c>
      <c r="Y6" s="3" t="s">
        <v>473</v>
      </c>
      <c r="Z6" s="374" t="str">
        <f>+E4</f>
        <v>田辺雄一</v>
      </c>
    </row>
    <row r="7" spans="3:26" ht="14.25" thickBot="1" x14ac:dyDescent="0.2">
      <c r="D7" s="159" t="s">
        <v>474</v>
      </c>
      <c r="E7" s="160"/>
      <c r="F7" s="160"/>
      <c r="G7" s="160"/>
      <c r="H7" s="160"/>
      <c r="I7" s="161"/>
      <c r="J7" s="2"/>
      <c r="K7" s="2"/>
      <c r="L7" s="2"/>
      <c r="V7" s="153" t="s">
        <v>475</v>
      </c>
      <c r="W7" s="154"/>
      <c r="X7" s="3" t="s">
        <v>476</v>
      </c>
      <c r="Y7" s="3" t="s">
        <v>476</v>
      </c>
      <c r="Z7" s="3" t="s">
        <v>476</v>
      </c>
    </row>
    <row r="9" spans="3:26" x14ac:dyDescent="0.15">
      <c r="C9" s="162" t="s">
        <v>477</v>
      </c>
      <c r="D9" s="165" t="s">
        <v>478</v>
      </c>
      <c r="E9" s="168" t="s">
        <v>479</v>
      </c>
      <c r="F9" s="168" t="s">
        <v>480</v>
      </c>
      <c r="G9" s="162" t="s">
        <v>481</v>
      </c>
      <c r="H9" s="162" t="s">
        <v>482</v>
      </c>
      <c r="I9" s="162" t="s">
        <v>483</v>
      </c>
      <c r="J9" s="162" t="s">
        <v>484</v>
      </c>
      <c r="K9" s="5" t="s">
        <v>485</v>
      </c>
      <c r="L9" s="5" t="s">
        <v>485</v>
      </c>
      <c r="M9" s="5" t="s">
        <v>485</v>
      </c>
      <c r="N9" s="5" t="s">
        <v>486</v>
      </c>
      <c r="O9" s="5" t="s">
        <v>486</v>
      </c>
      <c r="P9" s="5" t="s">
        <v>486</v>
      </c>
      <c r="Q9" s="162" t="s">
        <v>487</v>
      </c>
      <c r="R9" s="162" t="s">
        <v>488</v>
      </c>
      <c r="S9" s="162" t="s">
        <v>489</v>
      </c>
      <c r="T9" s="162" t="s">
        <v>490</v>
      </c>
      <c r="U9" s="162" t="s">
        <v>491</v>
      </c>
      <c r="V9" s="171" t="s">
        <v>492</v>
      </c>
      <c r="W9" s="172"/>
      <c r="X9" s="172"/>
      <c r="Y9" s="172"/>
      <c r="Z9" s="173"/>
    </row>
    <row r="10" spans="3:26" x14ac:dyDescent="0.15">
      <c r="C10" s="163"/>
      <c r="D10" s="166"/>
      <c r="E10" s="169"/>
      <c r="F10" s="169"/>
      <c r="G10" s="166"/>
      <c r="H10" s="166"/>
      <c r="I10" s="166"/>
      <c r="J10" s="166"/>
      <c r="K10" s="5" t="s">
        <v>493</v>
      </c>
      <c r="L10" s="5" t="s">
        <v>494</v>
      </c>
      <c r="M10" s="5" t="s">
        <v>495</v>
      </c>
      <c r="N10" s="5" t="s">
        <v>496</v>
      </c>
      <c r="O10" s="5" t="s">
        <v>497</v>
      </c>
      <c r="P10" s="5" t="s">
        <v>498</v>
      </c>
      <c r="Q10" s="163"/>
      <c r="R10" s="163"/>
      <c r="S10" s="163"/>
      <c r="T10" s="163"/>
      <c r="U10" s="163"/>
      <c r="V10" s="174"/>
      <c r="W10" s="175"/>
      <c r="X10" s="175"/>
      <c r="Y10" s="175"/>
      <c r="Z10" s="176"/>
    </row>
    <row r="11" spans="3:26" x14ac:dyDescent="0.15">
      <c r="C11" s="164"/>
      <c r="D11" s="167"/>
      <c r="E11" s="170"/>
      <c r="F11" s="170"/>
      <c r="G11" s="167"/>
      <c r="H11" s="167"/>
      <c r="I11" s="167"/>
      <c r="J11" s="167"/>
      <c r="K11" s="5" t="s">
        <v>499</v>
      </c>
      <c r="L11" s="5" t="s">
        <v>499</v>
      </c>
      <c r="M11" s="5" t="s">
        <v>499</v>
      </c>
      <c r="N11" s="5" t="s">
        <v>500</v>
      </c>
      <c r="O11" s="5" t="s">
        <v>500</v>
      </c>
      <c r="P11" s="5" t="s">
        <v>500</v>
      </c>
      <c r="Q11" s="164"/>
      <c r="R11" s="164"/>
      <c r="S11" s="164"/>
      <c r="T11" s="164"/>
      <c r="U11" s="164"/>
      <c r="V11" s="177"/>
      <c r="W11" s="178"/>
      <c r="X11" s="178"/>
      <c r="Y11" s="178"/>
      <c r="Z11" s="179"/>
    </row>
    <row r="12" spans="3:26" ht="27" x14ac:dyDescent="0.15">
      <c r="C12" s="6"/>
      <c r="D12" s="6"/>
      <c r="E12" s="6"/>
      <c r="F12" s="6"/>
      <c r="G12" s="6"/>
      <c r="H12" s="6"/>
      <c r="I12" s="375" t="s">
        <v>501</v>
      </c>
      <c r="J12" s="375" t="s">
        <v>502</v>
      </c>
      <c r="K12" s="375" t="s">
        <v>503</v>
      </c>
      <c r="L12" s="375" t="s">
        <v>504</v>
      </c>
      <c r="M12" s="375" t="s">
        <v>505</v>
      </c>
      <c r="N12" s="375" t="s">
        <v>506</v>
      </c>
      <c r="O12" s="375" t="s">
        <v>507</v>
      </c>
      <c r="P12" s="375" t="s">
        <v>508</v>
      </c>
      <c r="Q12" s="376" t="s">
        <v>509</v>
      </c>
      <c r="R12" s="377" t="s">
        <v>510</v>
      </c>
      <c r="S12" s="377" t="s">
        <v>511</v>
      </c>
      <c r="T12" s="375" t="s">
        <v>512</v>
      </c>
      <c r="U12" s="377" t="s">
        <v>513</v>
      </c>
      <c r="V12" s="378" t="s">
        <v>477</v>
      </c>
      <c r="W12" s="375" t="s">
        <v>514</v>
      </c>
      <c r="X12" s="375" t="s">
        <v>515</v>
      </c>
      <c r="Y12" s="375" t="s">
        <v>516</v>
      </c>
      <c r="Z12" s="376" t="s">
        <v>517</v>
      </c>
    </row>
    <row r="13" spans="3:26" ht="1.9" customHeight="1" thickBot="1" x14ac:dyDescent="0.2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9">
        <f>SUM(K14:P14)</f>
        <v>70000</v>
      </c>
      <c r="R13" s="6"/>
      <c r="S13" s="6"/>
      <c r="T13" s="7"/>
      <c r="U13" s="7"/>
      <c r="V13" s="6"/>
      <c r="W13" s="6"/>
      <c r="X13" s="6"/>
      <c r="Y13" s="6"/>
      <c r="Z13" s="6"/>
    </row>
    <row r="14" spans="3:26" ht="22.9" customHeight="1" thickBot="1" x14ac:dyDescent="0.25">
      <c r="C14" s="109" t="s">
        <v>518</v>
      </c>
      <c r="D14" s="50" t="s">
        <v>519</v>
      </c>
      <c r="E14" s="38" t="s">
        <v>520</v>
      </c>
      <c r="F14" s="107" t="s">
        <v>521</v>
      </c>
      <c r="G14" s="107" t="s">
        <v>522</v>
      </c>
      <c r="H14" s="108" t="s">
        <v>523</v>
      </c>
      <c r="I14" s="384">
        <f>'[1]1実績予想売上関係'!I17</f>
        <v>0</v>
      </c>
      <c r="J14" s="384">
        <f>'[1]1実績予想売上関係'!J17</f>
        <v>115500</v>
      </c>
      <c r="K14" s="368">
        <v>30000</v>
      </c>
      <c r="L14" s="368">
        <v>10000</v>
      </c>
      <c r="M14" s="368">
        <v>22500</v>
      </c>
      <c r="N14" s="384">
        <f>'[1]1実績予想売上関係'!L17</f>
        <v>1881</v>
      </c>
      <c r="O14" s="384">
        <f>'[1]1実績予想売上関係'!M17</f>
        <v>3700</v>
      </c>
      <c r="P14" s="384">
        <f>'[1]1実績予想売上関係'!N17</f>
        <v>1919</v>
      </c>
      <c r="Q14" s="379">
        <f>SUM(K14:P14)</f>
        <v>70000</v>
      </c>
      <c r="R14" s="387">
        <f>IF(I14="","",+Q14-I14)</f>
        <v>70000</v>
      </c>
      <c r="S14" s="388" t="str">
        <f>IF(OR(I14=0,R14=""),"",ROUND(R14/I14,3))</f>
        <v/>
      </c>
      <c r="T14" s="382">
        <f>+Q14-J14</f>
        <v>-45500</v>
      </c>
      <c r="U14" s="383">
        <f>IF(OR(J14="",T14=""),"",ROUND(T14/J14,2))</f>
        <v>-0.39</v>
      </c>
      <c r="V14" s="48"/>
      <c r="W14" s="52" t="s">
        <v>473</v>
      </c>
      <c r="X14" s="52" t="s">
        <v>473</v>
      </c>
      <c r="Y14" s="52" t="s">
        <v>473</v>
      </c>
      <c r="Z14" s="52" t="s">
        <v>473</v>
      </c>
    </row>
    <row r="15" spans="3:26" ht="24.6" customHeight="1" thickBot="1" x14ac:dyDescent="0.25">
      <c r="C15" s="109" t="s">
        <v>524</v>
      </c>
      <c r="D15" s="37" t="s">
        <v>525</v>
      </c>
      <c r="E15" s="38" t="s">
        <v>520</v>
      </c>
      <c r="F15" s="107" t="s">
        <v>521</v>
      </c>
      <c r="G15" s="107" t="s">
        <v>522</v>
      </c>
      <c r="H15" s="107"/>
      <c r="I15" s="384">
        <f>IF($H$14="〇",ROUND(I14*$M$6,),0)</f>
        <v>0</v>
      </c>
      <c r="J15" s="384">
        <f t="shared" ref="J15:P15" si="0">IF($H$14="〇",ROUND(J14*$M$6,),0)</f>
        <v>9240</v>
      </c>
      <c r="K15" s="384">
        <f t="shared" si="0"/>
        <v>2400</v>
      </c>
      <c r="L15" s="379">
        <f t="shared" si="0"/>
        <v>800</v>
      </c>
      <c r="M15" s="379">
        <f t="shared" si="0"/>
        <v>1800</v>
      </c>
      <c r="N15" s="379">
        <f t="shared" si="0"/>
        <v>150</v>
      </c>
      <c r="O15" s="379">
        <f t="shared" si="0"/>
        <v>296</v>
      </c>
      <c r="P15" s="379">
        <f t="shared" si="0"/>
        <v>154</v>
      </c>
      <c r="Q15" s="379">
        <f>SUM(K15:P15)</f>
        <v>5600</v>
      </c>
      <c r="R15" s="380">
        <f>IF(I15="","",+Q15-I15)</f>
        <v>5600</v>
      </c>
      <c r="S15" s="386" t="str">
        <f>IF(OR(I15=0,R15=""),"",ROUND(R15/I15,3))</f>
        <v/>
      </c>
      <c r="T15" s="382">
        <f>+Q15-J15</f>
        <v>-3640</v>
      </c>
      <c r="U15" s="383">
        <f>IF(OR(J15="",T15=""),"",ROUND(T15/J15,2))</f>
        <v>-0.39</v>
      </c>
      <c r="V15" s="40"/>
      <c r="W15" s="52" t="s">
        <v>473</v>
      </c>
      <c r="X15" s="52" t="s">
        <v>473</v>
      </c>
      <c r="Y15" s="52" t="s">
        <v>473</v>
      </c>
      <c r="Z15" s="52" t="s">
        <v>473</v>
      </c>
    </row>
    <row r="16" spans="3:26" ht="24.6" customHeight="1" thickBot="1" x14ac:dyDescent="0.25">
      <c r="C16" s="109" t="s">
        <v>526</v>
      </c>
      <c r="D16" s="37" t="s">
        <v>527</v>
      </c>
      <c r="E16" s="38" t="s">
        <v>520</v>
      </c>
      <c r="F16" s="107" t="s">
        <v>521</v>
      </c>
      <c r="G16" s="107" t="s">
        <v>522</v>
      </c>
      <c r="H16" s="107"/>
      <c r="I16" s="384">
        <f>SUM(I14:I15)</f>
        <v>0</v>
      </c>
      <c r="J16" s="384">
        <f t="shared" ref="J16:Q16" si="1">SUM(J14:J15)</f>
        <v>124740</v>
      </c>
      <c r="K16" s="384">
        <f t="shared" si="1"/>
        <v>32400</v>
      </c>
      <c r="L16" s="434">
        <f t="shared" si="1"/>
        <v>10800</v>
      </c>
      <c r="M16" s="384">
        <f t="shared" si="1"/>
        <v>24300</v>
      </c>
      <c r="N16" s="384">
        <f t="shared" si="1"/>
        <v>2031</v>
      </c>
      <c r="O16" s="384">
        <f t="shared" si="1"/>
        <v>3996</v>
      </c>
      <c r="P16" s="384">
        <f t="shared" si="1"/>
        <v>2073</v>
      </c>
      <c r="Q16" s="384">
        <f t="shared" si="1"/>
        <v>75600</v>
      </c>
      <c r="R16" s="380"/>
      <c r="S16" s="386"/>
      <c r="T16" s="382"/>
      <c r="U16" s="383"/>
      <c r="V16" s="40"/>
      <c r="W16" s="41"/>
      <c r="X16" s="44"/>
      <c r="Y16" s="45"/>
      <c r="Z16" s="43"/>
    </row>
    <row r="17" spans="3:26" ht="24.6" customHeight="1" thickBot="1" x14ac:dyDescent="0.25">
      <c r="C17" s="109" t="s">
        <v>528</v>
      </c>
      <c r="D17" s="122" t="s">
        <v>529</v>
      </c>
      <c r="E17" s="38" t="s">
        <v>520</v>
      </c>
      <c r="F17" s="107" t="s">
        <v>521</v>
      </c>
      <c r="G17" s="107" t="s">
        <v>530</v>
      </c>
      <c r="H17" s="107"/>
      <c r="I17" s="384">
        <f>+I16</f>
        <v>0</v>
      </c>
      <c r="J17" s="384">
        <f t="shared" ref="J17:Q18" si="2">+J16</f>
        <v>124740</v>
      </c>
      <c r="K17" s="390">
        <f t="shared" si="2"/>
        <v>32400</v>
      </c>
      <c r="L17" s="56">
        <f t="shared" si="2"/>
        <v>10800</v>
      </c>
      <c r="M17" s="56">
        <f t="shared" si="2"/>
        <v>24300</v>
      </c>
      <c r="N17" s="56">
        <f t="shared" si="2"/>
        <v>2031</v>
      </c>
      <c r="O17" s="56">
        <f t="shared" si="2"/>
        <v>3996</v>
      </c>
      <c r="P17" s="56">
        <f t="shared" si="2"/>
        <v>2073</v>
      </c>
      <c r="Q17" s="56">
        <f>SUM(K17:P17)</f>
        <v>75600</v>
      </c>
      <c r="R17" s="380">
        <f>IF(I17="","",+Q17-I17)</f>
        <v>75600</v>
      </c>
      <c r="S17" s="386" t="str">
        <f>IF(OR(I17=0,R17=""),"",ROUND(R17/I17,3))</f>
        <v/>
      </c>
      <c r="T17" s="382">
        <f>+Q17-J17</f>
        <v>-49140</v>
      </c>
      <c r="U17" s="383">
        <f>IF(OR(J17="",T17=""),"",ROUND(T17/J17,2))</f>
        <v>-0.39</v>
      </c>
      <c r="V17" s="40"/>
      <c r="W17" s="52" t="s">
        <v>473</v>
      </c>
      <c r="X17" s="52" t="s">
        <v>473</v>
      </c>
      <c r="Y17" s="52" t="s">
        <v>473</v>
      </c>
      <c r="Z17" s="52" t="s">
        <v>473</v>
      </c>
    </row>
    <row r="18" spans="3:26" ht="24.6" customHeight="1" thickBot="1" x14ac:dyDescent="0.25">
      <c r="C18" s="109" t="s">
        <v>531</v>
      </c>
      <c r="D18" s="37" t="s">
        <v>532</v>
      </c>
      <c r="E18" s="38" t="s">
        <v>520</v>
      </c>
      <c r="F18" s="107" t="s">
        <v>521</v>
      </c>
      <c r="G18" s="107" t="s">
        <v>530</v>
      </c>
      <c r="H18" s="107"/>
      <c r="I18" s="384">
        <f>+I17</f>
        <v>0</v>
      </c>
      <c r="J18" s="384">
        <f t="shared" si="2"/>
        <v>124740</v>
      </c>
      <c r="K18" s="384">
        <f t="shared" si="2"/>
        <v>32400</v>
      </c>
      <c r="L18" s="435">
        <f t="shared" si="2"/>
        <v>10800</v>
      </c>
      <c r="M18" s="384">
        <f t="shared" si="2"/>
        <v>24300</v>
      </c>
      <c r="N18" s="384">
        <f t="shared" si="2"/>
        <v>2031</v>
      </c>
      <c r="O18" s="384">
        <f t="shared" si="2"/>
        <v>3996</v>
      </c>
      <c r="P18" s="384">
        <f t="shared" si="2"/>
        <v>2073</v>
      </c>
      <c r="Q18" s="384">
        <f t="shared" si="2"/>
        <v>75600</v>
      </c>
      <c r="R18" s="380"/>
      <c r="S18" s="386"/>
      <c r="T18" s="382"/>
      <c r="U18" s="383"/>
      <c r="V18" s="40"/>
      <c r="W18" s="41"/>
      <c r="X18" s="44"/>
      <c r="Y18" s="45"/>
      <c r="Z18" s="43"/>
    </row>
    <row r="19" spans="3:26" ht="24.6" customHeight="1" thickBot="1" x14ac:dyDescent="0.25">
      <c r="C19" s="109"/>
      <c r="D19" s="37" t="s">
        <v>533</v>
      </c>
      <c r="E19" s="38" t="s">
        <v>520</v>
      </c>
      <c r="F19" s="107" t="s">
        <v>521</v>
      </c>
      <c r="G19" s="107"/>
      <c r="H19" s="107"/>
      <c r="I19" s="384">
        <f>+I16-I16</f>
        <v>0</v>
      </c>
      <c r="J19" s="384">
        <f t="shared" ref="J19:Q19" si="3">+J16-J16</f>
        <v>0</v>
      </c>
      <c r="K19" s="384">
        <f t="shared" si="3"/>
        <v>0</v>
      </c>
      <c r="L19" s="384">
        <f t="shared" si="3"/>
        <v>0</v>
      </c>
      <c r="M19" s="384">
        <f t="shared" si="3"/>
        <v>0</v>
      </c>
      <c r="N19" s="384">
        <f t="shared" si="3"/>
        <v>0</v>
      </c>
      <c r="O19" s="384">
        <f t="shared" si="3"/>
        <v>0</v>
      </c>
      <c r="P19" s="384">
        <f t="shared" si="3"/>
        <v>0</v>
      </c>
      <c r="Q19" s="384">
        <f t="shared" si="3"/>
        <v>0</v>
      </c>
      <c r="R19" s="380"/>
      <c r="S19" s="386"/>
      <c r="T19" s="382"/>
      <c r="U19" s="383"/>
      <c r="V19" s="40"/>
      <c r="W19" s="41"/>
      <c r="X19" s="44"/>
      <c r="Y19" s="45"/>
      <c r="Z19" s="43"/>
    </row>
    <row r="20" spans="3:26" ht="24.6" customHeight="1" thickBot="1" x14ac:dyDescent="0.25">
      <c r="C20" s="109"/>
      <c r="D20" s="37" t="s">
        <v>534</v>
      </c>
      <c r="E20" s="38"/>
      <c r="F20" s="107"/>
      <c r="G20" s="107"/>
      <c r="H20" s="107"/>
      <c r="I20" s="384"/>
      <c r="J20" s="384"/>
      <c r="K20" s="384"/>
      <c r="L20" s="384"/>
      <c r="M20" s="384"/>
      <c r="N20" s="384"/>
      <c r="O20" s="384"/>
      <c r="P20" s="384"/>
      <c r="Q20" s="384"/>
      <c r="R20" s="380"/>
      <c r="S20" s="386"/>
      <c r="T20" s="382"/>
      <c r="U20" s="383"/>
      <c r="V20" s="40"/>
      <c r="W20" s="41"/>
      <c r="X20" s="44"/>
      <c r="Y20" s="45"/>
      <c r="Z20" s="43"/>
    </row>
    <row r="21" spans="3:26" ht="24.6" customHeight="1" thickBot="1" x14ac:dyDescent="0.25">
      <c r="C21" s="109"/>
      <c r="D21" s="122" t="s">
        <v>535</v>
      </c>
      <c r="E21" s="38"/>
      <c r="F21" s="107"/>
      <c r="G21" s="107"/>
      <c r="H21" s="107"/>
      <c r="I21" s="384"/>
      <c r="J21" s="384"/>
      <c r="K21" s="384"/>
      <c r="L21" s="384"/>
      <c r="M21" s="384"/>
      <c r="N21" s="384"/>
      <c r="O21" s="384"/>
      <c r="P21" s="384"/>
      <c r="Q21" s="384"/>
      <c r="R21" s="380"/>
      <c r="S21" s="386"/>
      <c r="T21" s="382"/>
      <c r="U21" s="383"/>
      <c r="V21" s="40"/>
      <c r="W21" s="41"/>
      <c r="X21" s="44"/>
      <c r="Y21" s="45"/>
      <c r="Z21" s="43"/>
    </row>
    <row r="22" spans="3:26" ht="24.6" customHeight="1" thickBot="1" x14ac:dyDescent="0.25">
      <c r="C22" s="109"/>
      <c r="D22" s="37" t="s">
        <v>536</v>
      </c>
      <c r="E22" s="38" t="s">
        <v>520</v>
      </c>
      <c r="F22" s="107" t="s">
        <v>521</v>
      </c>
      <c r="G22" s="107" t="s">
        <v>530</v>
      </c>
      <c r="H22" s="107"/>
      <c r="I22" s="384"/>
      <c r="J22" s="390"/>
      <c r="K22" s="107" t="s">
        <v>473</v>
      </c>
      <c r="L22" s="449">
        <v>10800</v>
      </c>
      <c r="M22" s="391">
        <f>+L17</f>
        <v>10800</v>
      </c>
      <c r="N22" s="391">
        <f t="shared" ref="N22:P22" si="4">+M17</f>
        <v>24300</v>
      </c>
      <c r="O22" s="391">
        <f t="shared" si="4"/>
        <v>2031</v>
      </c>
      <c r="P22" s="391">
        <f t="shared" si="4"/>
        <v>3996</v>
      </c>
      <c r="Q22" s="384">
        <f>+I21</f>
        <v>0</v>
      </c>
      <c r="R22" s="380"/>
      <c r="S22" s="386"/>
      <c r="T22" s="382"/>
      <c r="U22" s="383"/>
      <c r="V22" s="40"/>
      <c r="W22" s="41"/>
      <c r="X22" s="44"/>
      <c r="Y22" s="45"/>
      <c r="Z22" s="43"/>
    </row>
    <row r="23" spans="3:26" ht="24.6" customHeight="1" thickBot="1" x14ac:dyDescent="0.25">
      <c r="C23" s="109"/>
      <c r="D23" s="37" t="s">
        <v>537</v>
      </c>
      <c r="E23" s="38" t="s">
        <v>520</v>
      </c>
      <c r="F23" s="107" t="s">
        <v>521</v>
      </c>
      <c r="G23" s="107" t="s">
        <v>530</v>
      </c>
      <c r="H23" s="107"/>
      <c r="I23" s="384"/>
      <c r="J23" s="390"/>
      <c r="K23" s="107" t="s">
        <v>473</v>
      </c>
      <c r="L23" s="449">
        <v>10800</v>
      </c>
      <c r="M23" s="435">
        <f>IF(OR($O$6=2,$O$6=3),L22,"")</f>
        <v>10800</v>
      </c>
      <c r="N23" s="435">
        <f>IF(OR($O$6=2,$O$6=3),M22,"")</f>
        <v>10800</v>
      </c>
      <c r="O23" s="435">
        <f t="shared" ref="O23:P23" si="5">IF(OR($O$6=2,$O$6=3),N22,"")</f>
        <v>24300</v>
      </c>
      <c r="P23" s="435">
        <f t="shared" si="5"/>
        <v>2031</v>
      </c>
      <c r="Q23" s="384">
        <f>+I22</f>
        <v>0</v>
      </c>
      <c r="R23" s="380"/>
      <c r="S23" s="386"/>
      <c r="T23" s="382"/>
      <c r="U23" s="383"/>
      <c r="V23" s="40"/>
      <c r="W23" s="41"/>
      <c r="X23" s="44"/>
      <c r="Y23" s="45"/>
      <c r="Z23" s="43"/>
    </row>
    <row r="24" spans="3:26" ht="24.6" customHeight="1" thickBot="1" x14ac:dyDescent="0.25">
      <c r="C24" s="109"/>
      <c r="D24" s="37" t="s">
        <v>538</v>
      </c>
      <c r="E24" s="38" t="s">
        <v>520</v>
      </c>
      <c r="F24" s="107" t="s">
        <v>521</v>
      </c>
      <c r="G24" s="107" t="s">
        <v>530</v>
      </c>
      <c r="H24" s="107"/>
      <c r="I24" s="384"/>
      <c r="J24" s="390"/>
      <c r="K24" s="107" t="s">
        <v>473</v>
      </c>
      <c r="L24" s="435">
        <v>0</v>
      </c>
      <c r="M24" s="435">
        <f>IF($O$6=3,L23,0)</f>
        <v>0</v>
      </c>
      <c r="N24" s="435">
        <f>IF($O$6=3,M23,0)</f>
        <v>0</v>
      </c>
      <c r="O24" s="435">
        <f>IF($O$6=3,N23,0)</f>
        <v>0</v>
      </c>
      <c r="P24" s="435">
        <f>IF($O$6=3,O23,0)</f>
        <v>0</v>
      </c>
      <c r="Q24" s="384">
        <f>+I23</f>
        <v>0</v>
      </c>
      <c r="R24" s="380"/>
      <c r="S24" s="386"/>
      <c r="T24" s="382"/>
      <c r="U24" s="383"/>
      <c r="V24" s="40"/>
      <c r="W24" s="41"/>
      <c r="X24" s="44"/>
      <c r="Y24" s="45"/>
      <c r="Z24" s="43"/>
    </row>
    <row r="25" spans="3:26" ht="24.6" customHeight="1" thickBot="1" x14ac:dyDescent="0.25">
      <c r="C25" s="109"/>
      <c r="D25" s="122" t="s">
        <v>539</v>
      </c>
      <c r="E25" s="38" t="s">
        <v>520</v>
      </c>
      <c r="F25" s="107" t="s">
        <v>521</v>
      </c>
      <c r="G25" s="107" t="s">
        <v>530</v>
      </c>
      <c r="H25" s="107"/>
      <c r="I25" s="436">
        <f t="shared" ref="I25" si="6">SUM(I22:I24)</f>
        <v>0</v>
      </c>
      <c r="J25" s="436">
        <f t="shared" ref="J25" si="7">SUM(J22:J24)</f>
        <v>0</v>
      </c>
      <c r="K25" s="107" t="s">
        <v>473</v>
      </c>
      <c r="L25" s="123">
        <f>SUM(L22:L24)</f>
        <v>21600</v>
      </c>
      <c r="M25" s="123">
        <f>SUM(M22:M24)</f>
        <v>21600</v>
      </c>
      <c r="N25" s="123">
        <f t="shared" ref="N25:Q25" si="8">SUM(N22:N24)</f>
        <v>35100</v>
      </c>
      <c r="O25" s="123">
        <f t="shared" si="8"/>
        <v>26331</v>
      </c>
      <c r="P25" s="56">
        <f t="shared" si="8"/>
        <v>6027</v>
      </c>
      <c r="Q25" s="123">
        <f t="shared" si="8"/>
        <v>0</v>
      </c>
      <c r="R25" s="380"/>
      <c r="S25" s="386"/>
      <c r="T25" s="382"/>
      <c r="U25" s="383"/>
      <c r="V25" s="40"/>
      <c r="W25" s="41"/>
      <c r="X25" s="44"/>
      <c r="Y25" s="45"/>
      <c r="Z25" s="43"/>
    </row>
    <row r="26" spans="3:26" ht="24.6" customHeight="1" thickBot="1" x14ac:dyDescent="0.25">
      <c r="C26" s="109"/>
      <c r="D26" s="37"/>
      <c r="E26" s="38"/>
      <c r="F26" s="107"/>
      <c r="G26" s="107"/>
      <c r="H26" s="107"/>
      <c r="I26" s="384"/>
      <c r="J26" s="384"/>
      <c r="K26" s="107"/>
      <c r="M26" s="435"/>
      <c r="N26" s="384"/>
      <c r="O26" s="384"/>
      <c r="P26" s="384"/>
      <c r="Q26" s="384"/>
      <c r="R26" s="380"/>
      <c r="S26" s="386"/>
      <c r="T26" s="382"/>
      <c r="U26" s="383"/>
      <c r="V26" s="40"/>
      <c r="W26" s="41"/>
      <c r="X26" s="44"/>
      <c r="Y26" s="45"/>
      <c r="Z26" s="43"/>
    </row>
    <row r="27" spans="3:26" ht="24.6" customHeight="1" thickBot="1" x14ac:dyDescent="0.25">
      <c r="C27" s="109"/>
      <c r="D27" s="124" t="s">
        <v>540</v>
      </c>
      <c r="E27" s="38" t="s">
        <v>520</v>
      </c>
      <c r="F27" s="107" t="s">
        <v>521</v>
      </c>
      <c r="G27" s="107" t="s">
        <v>522</v>
      </c>
      <c r="H27" s="107"/>
      <c r="I27" s="384"/>
      <c r="J27" s="368">
        <v>119340</v>
      </c>
      <c r="K27" s="368">
        <v>16200</v>
      </c>
      <c r="L27" s="368">
        <v>5400</v>
      </c>
      <c r="M27" s="123">
        <f>IF($O$6=1,M22,IF($O$6=2,M23,IF($O$6=3,M24,"")))</f>
        <v>10800</v>
      </c>
      <c r="N27" s="123">
        <f t="shared" ref="N27:P27" si="9">IF($O$6=1,N22,IF($O$6=2,N23,IF($O$6=3,N24,"")))</f>
        <v>10800</v>
      </c>
      <c r="O27" s="123">
        <f t="shared" si="9"/>
        <v>24300</v>
      </c>
      <c r="P27" s="123">
        <f t="shared" si="9"/>
        <v>2031</v>
      </c>
      <c r="Q27" s="56">
        <f>SUM(K27:P27)</f>
        <v>69531</v>
      </c>
      <c r="R27" s="380" t="str">
        <f>IF(I27="","",+Q27-I27)</f>
        <v/>
      </c>
      <c r="S27" s="386" t="str">
        <f>IF(OR(I27=0,R27=""),"",ROUND(R27/I27,3))</f>
        <v/>
      </c>
      <c r="T27" s="382">
        <f>+Q27-J27</f>
        <v>-49809</v>
      </c>
      <c r="U27" s="383">
        <f>IF(OR(J27="",T27=""),"",ROUND(T27/J27,2))</f>
        <v>-0.42</v>
      </c>
      <c r="V27" s="40"/>
      <c r="W27" s="41"/>
      <c r="X27" s="44"/>
      <c r="Y27" s="45"/>
      <c r="Z27" s="43"/>
    </row>
    <row r="28" spans="3:26" ht="24.6" customHeight="1" thickBot="1" x14ac:dyDescent="0.25">
      <c r="C28" s="109"/>
      <c r="D28" s="37" t="s">
        <v>541</v>
      </c>
      <c r="E28" s="38" t="s">
        <v>520</v>
      </c>
      <c r="F28" s="107" t="s">
        <v>521</v>
      </c>
      <c r="G28" s="107" t="s">
        <v>530</v>
      </c>
      <c r="H28" s="107"/>
      <c r="I28" s="384"/>
      <c r="J28" s="384">
        <f>+J27</f>
        <v>119340</v>
      </c>
      <c r="K28" s="384">
        <f>+K27</f>
        <v>16200</v>
      </c>
      <c r="L28" s="384">
        <f t="shared" ref="L28:Q28" si="10">+L27</f>
        <v>5400</v>
      </c>
      <c r="M28" s="384">
        <f t="shared" si="10"/>
        <v>10800</v>
      </c>
      <c r="N28" s="384">
        <f t="shared" si="10"/>
        <v>10800</v>
      </c>
      <c r="O28" s="384">
        <f t="shared" si="10"/>
        <v>24300</v>
      </c>
      <c r="P28" s="384">
        <f t="shared" si="10"/>
        <v>2031</v>
      </c>
      <c r="Q28" s="384">
        <f t="shared" si="10"/>
        <v>69531</v>
      </c>
      <c r="R28" s="380" t="str">
        <f>IF(I28="","",+Q28-I28)</f>
        <v/>
      </c>
      <c r="S28" s="386" t="str">
        <f>IF(OR(I28=0,R28=""),"",ROUND(R28/I28,3))</f>
        <v/>
      </c>
      <c r="T28" s="382">
        <f>+Q28-J28</f>
        <v>-49809</v>
      </c>
      <c r="U28" s="383">
        <f>IF(OR(J28="",T28=""),"",ROUND(T28/J28,2))</f>
        <v>-0.42</v>
      </c>
      <c r="V28" s="40"/>
      <c r="W28" s="41"/>
      <c r="X28" s="44"/>
      <c r="Y28" s="45"/>
      <c r="Z28" s="43"/>
    </row>
    <row r="29" spans="3:26" ht="24.6" customHeight="1" thickBot="1" x14ac:dyDescent="0.25">
      <c r="C29" s="109"/>
      <c r="D29" s="122" t="s">
        <v>542</v>
      </c>
      <c r="E29" s="38"/>
      <c r="F29" s="107"/>
      <c r="G29" s="107"/>
      <c r="H29" s="107"/>
      <c r="I29" s="384"/>
      <c r="J29" s="384"/>
      <c r="K29" s="435"/>
      <c r="L29" s="437"/>
      <c r="M29" s="435"/>
      <c r="N29" s="384"/>
      <c r="O29" s="384"/>
      <c r="P29" s="384"/>
      <c r="Q29" s="384"/>
      <c r="R29" s="380"/>
      <c r="S29" s="386"/>
      <c r="T29" s="382"/>
      <c r="U29" s="383"/>
      <c r="V29" s="40"/>
      <c r="W29" s="41"/>
      <c r="X29" s="44"/>
      <c r="Y29" s="45"/>
      <c r="Z29" s="43"/>
    </row>
    <row r="30" spans="3:26" ht="24.6" customHeight="1" thickBot="1" x14ac:dyDescent="0.25">
      <c r="C30" s="109"/>
      <c r="D30" s="37" t="s">
        <v>543</v>
      </c>
      <c r="E30" s="38" t="s">
        <v>520</v>
      </c>
      <c r="F30" s="107" t="s">
        <v>521</v>
      </c>
      <c r="G30" s="107" t="s">
        <v>530</v>
      </c>
      <c r="H30" s="107"/>
      <c r="I30" s="384"/>
      <c r="J30" s="384"/>
      <c r="K30" s="438"/>
      <c r="L30" s="391">
        <f>+L17</f>
        <v>10800</v>
      </c>
      <c r="M30" s="391">
        <f t="shared" ref="M30:P30" si="11">+M17</f>
        <v>24300</v>
      </c>
      <c r="N30" s="391">
        <f t="shared" si="11"/>
        <v>2031</v>
      </c>
      <c r="O30" s="391">
        <f t="shared" si="11"/>
        <v>3996</v>
      </c>
      <c r="P30" s="391">
        <f t="shared" si="11"/>
        <v>2073</v>
      </c>
      <c r="Q30" s="384">
        <f>+P30</f>
        <v>2073</v>
      </c>
      <c r="R30" s="380"/>
      <c r="S30" s="386"/>
      <c r="T30" s="382"/>
      <c r="U30" s="383"/>
      <c r="V30" s="40"/>
      <c r="W30" s="41"/>
      <c r="X30" s="44"/>
      <c r="Y30" s="45"/>
      <c r="Z30" s="43"/>
    </row>
    <row r="31" spans="3:26" ht="24.6" customHeight="1" thickBot="1" x14ac:dyDescent="0.25">
      <c r="C31" s="109"/>
      <c r="D31" s="37" t="s">
        <v>536</v>
      </c>
      <c r="E31" s="38" t="s">
        <v>520</v>
      </c>
      <c r="F31" s="107" t="s">
        <v>521</v>
      </c>
      <c r="G31" s="107" t="s">
        <v>530</v>
      </c>
      <c r="H31" s="107"/>
      <c r="I31" s="384"/>
      <c r="J31" s="384"/>
      <c r="K31" s="435"/>
      <c r="L31" s="435">
        <f>IF(OR($O$6=2,$O$6=3),L22,"")</f>
        <v>10800</v>
      </c>
      <c r="M31" s="435">
        <f>IF(OR($O$6=2,$O$6=3),M22,"")</f>
        <v>10800</v>
      </c>
      <c r="N31" s="435">
        <f t="shared" ref="N31:P31" si="12">IF(OR($O$6=2,$O$6=3),N22,"")</f>
        <v>24300</v>
      </c>
      <c r="O31" s="435">
        <f t="shared" si="12"/>
        <v>2031</v>
      </c>
      <c r="P31" s="435">
        <f t="shared" si="12"/>
        <v>3996</v>
      </c>
      <c r="Q31" s="384">
        <f t="shared" ref="Q31:Q32" si="13">+P31</f>
        <v>3996</v>
      </c>
      <c r="R31" s="380"/>
      <c r="S31" s="386"/>
      <c r="T31" s="382"/>
      <c r="U31" s="383"/>
      <c r="V31" s="40"/>
      <c r="W31" s="41"/>
      <c r="X31" s="44"/>
      <c r="Y31" s="45"/>
      <c r="Z31" s="43"/>
    </row>
    <row r="32" spans="3:26" ht="24.6" customHeight="1" thickBot="1" x14ac:dyDescent="0.25">
      <c r="C32" s="109"/>
      <c r="D32" s="37" t="s">
        <v>537</v>
      </c>
      <c r="E32" s="38" t="s">
        <v>520</v>
      </c>
      <c r="F32" s="107" t="s">
        <v>521</v>
      </c>
      <c r="G32" s="107" t="s">
        <v>530</v>
      </c>
      <c r="H32" s="107"/>
      <c r="I32" s="384"/>
      <c r="J32" s="384"/>
      <c r="K32" s="435"/>
      <c r="L32" s="435">
        <f>IF($O$6=3,L23,0)</f>
        <v>0</v>
      </c>
      <c r="M32" s="435">
        <f>IF($O$6=3,M23,0)</f>
        <v>0</v>
      </c>
      <c r="N32" s="435">
        <f>IF($O$6=3,N23,0)</f>
        <v>0</v>
      </c>
      <c r="O32" s="435">
        <f>IF($O$6=3,O23,0)</f>
        <v>0</v>
      </c>
      <c r="P32" s="435">
        <f>IF($O$6=3,P23,0)</f>
        <v>0</v>
      </c>
      <c r="Q32" s="384">
        <f t="shared" si="13"/>
        <v>0</v>
      </c>
      <c r="R32" s="380"/>
      <c r="S32" s="386"/>
      <c r="T32" s="382"/>
      <c r="U32" s="383"/>
      <c r="V32" s="40"/>
      <c r="W32" s="41"/>
      <c r="X32" s="44"/>
      <c r="Y32" s="45"/>
      <c r="Z32" s="43"/>
    </row>
    <row r="33" spans="3:26" ht="21.75" thickBot="1" x14ac:dyDescent="0.25">
      <c r="C33" s="46"/>
      <c r="D33" s="125" t="s">
        <v>544</v>
      </c>
      <c r="E33" s="38" t="s">
        <v>520</v>
      </c>
      <c r="F33" s="107" t="s">
        <v>521</v>
      </c>
      <c r="G33" s="107" t="s">
        <v>530</v>
      </c>
      <c r="H33" s="107"/>
      <c r="I33" s="384">
        <v>0</v>
      </c>
      <c r="J33" s="421">
        <f>+J17+J25-J27</f>
        <v>5400</v>
      </c>
      <c r="K33" s="384"/>
      <c r="L33" s="123">
        <f>SUM(L30:L32)</f>
        <v>21600</v>
      </c>
      <c r="M33" s="123">
        <f t="shared" ref="M33:Q33" si="14">SUM(M30:M32)</f>
        <v>35100</v>
      </c>
      <c r="N33" s="123">
        <f t="shared" si="14"/>
        <v>26331</v>
      </c>
      <c r="O33" s="123">
        <f t="shared" si="14"/>
        <v>6027</v>
      </c>
      <c r="P33" s="123">
        <f t="shared" si="14"/>
        <v>6069</v>
      </c>
      <c r="Q33" s="123">
        <f t="shared" si="14"/>
        <v>6069</v>
      </c>
      <c r="R33" s="380">
        <f>IF(I33="","",+Q33-I33)</f>
        <v>6069</v>
      </c>
      <c r="S33" s="386" t="str">
        <f>IF(OR(I33=0,R33=""),"",ROUND(R33/I33,3))</f>
        <v/>
      </c>
      <c r="T33" s="382">
        <f>+Q33-J33</f>
        <v>669</v>
      </c>
      <c r="U33" s="383">
        <f>IF(OR(J33="",T33=""),"",ROUND(T33/J33,2))</f>
        <v>0.12</v>
      </c>
      <c r="V33" s="40"/>
      <c r="W33" s="52" t="s">
        <v>473</v>
      </c>
      <c r="X33" s="52" t="s">
        <v>473</v>
      </c>
      <c r="Y33" s="52" t="s">
        <v>473</v>
      </c>
      <c r="Z33" s="52" t="s">
        <v>473</v>
      </c>
    </row>
    <row r="34" spans="3:26" ht="24" x14ac:dyDescent="0.2">
      <c r="D34" s="439" t="s">
        <v>533</v>
      </c>
      <c r="J34" s="106"/>
      <c r="M34" s="435">
        <f>M25-L33</f>
        <v>0</v>
      </c>
      <c r="N34" s="435">
        <f t="shared" ref="N34:P34" si="15">N25-M33</f>
        <v>0</v>
      </c>
      <c r="O34" s="435">
        <f t="shared" si="15"/>
        <v>0</v>
      </c>
      <c r="P34" s="435">
        <f t="shared" si="15"/>
        <v>0</v>
      </c>
      <c r="Q34" s="435">
        <f>+Q17+Q22-Q27-Q33</f>
        <v>0</v>
      </c>
    </row>
    <row r="37" spans="3:26" ht="24" x14ac:dyDescent="0.15">
      <c r="C37" s="155" t="s">
        <v>580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</row>
    <row r="38" spans="3:26" ht="14.25" thickBot="1" x14ac:dyDescent="0.2"/>
    <row r="39" spans="3:26" ht="18" thickBot="1" x14ac:dyDescent="0.2">
      <c r="D39" s="1" t="s">
        <v>469</v>
      </c>
      <c r="E39" s="367" t="s">
        <v>545</v>
      </c>
      <c r="F39" s="156"/>
      <c r="G39" s="156"/>
      <c r="H39" s="157"/>
      <c r="I39" s="158"/>
      <c r="J39" s="2"/>
      <c r="K39" s="2"/>
      <c r="L39" s="2"/>
      <c r="V39" s="153" t="s">
        <v>546</v>
      </c>
      <c r="W39" s="154"/>
      <c r="X39" s="67" t="s">
        <v>547</v>
      </c>
      <c r="Y39" s="67" t="s">
        <v>460</v>
      </c>
      <c r="Z39" s="67" t="s">
        <v>461</v>
      </c>
    </row>
    <row r="40" spans="3:26" ht="18" thickBot="1" x14ac:dyDescent="0.2">
      <c r="D40" s="1" t="s">
        <v>462</v>
      </c>
      <c r="E40" s="367" t="s">
        <v>548</v>
      </c>
      <c r="F40" s="156"/>
      <c r="G40" s="156"/>
      <c r="H40" s="157"/>
      <c r="I40" s="158"/>
      <c r="J40" s="2"/>
      <c r="K40" s="2"/>
      <c r="L40" s="2"/>
      <c r="M40" s="121" t="s">
        <v>464</v>
      </c>
      <c r="O40" t="s">
        <v>465</v>
      </c>
      <c r="V40" s="153" t="s">
        <v>466</v>
      </c>
      <c r="W40" s="154"/>
      <c r="X40" s="3" t="s">
        <v>467</v>
      </c>
      <c r="Y40" s="3" t="s">
        <v>468</v>
      </c>
      <c r="Z40" s="3" t="s">
        <v>469</v>
      </c>
    </row>
    <row r="41" spans="3:26" ht="18" thickBot="1" x14ac:dyDescent="0.25">
      <c r="D41" s="4" t="s">
        <v>470</v>
      </c>
      <c r="E41" s="152" t="s">
        <v>471</v>
      </c>
      <c r="F41" s="152"/>
      <c r="G41" s="152"/>
      <c r="H41" s="152"/>
      <c r="I41" s="152"/>
      <c r="J41" s="2"/>
      <c r="K41" s="2"/>
      <c r="L41" s="2"/>
      <c r="M41" s="440">
        <f>+M6</f>
        <v>0.08</v>
      </c>
      <c r="O41" s="369">
        <v>2</v>
      </c>
      <c r="P41" s="433" t="str">
        <f>IF($O41=1,"末締翌月末振込入金",IF($O41=2,"末締翌々月末振込入金",IF($O41=3,"末締翌々々月末振込入金","")))</f>
        <v>末締翌々月末振込入金</v>
      </c>
      <c r="Q41" s="313"/>
      <c r="R41" s="313"/>
      <c r="S41" s="313"/>
      <c r="T41" s="314"/>
      <c r="V41" s="153" t="s">
        <v>472</v>
      </c>
      <c r="W41" s="154"/>
      <c r="X41" s="3" t="s">
        <v>473</v>
      </c>
      <c r="Y41" s="3" t="s">
        <v>473</v>
      </c>
      <c r="Z41" s="374" t="str">
        <f>+E39</f>
        <v>鈴木一也</v>
      </c>
    </row>
    <row r="42" spans="3:26" ht="14.25" thickBot="1" x14ac:dyDescent="0.2">
      <c r="D42" s="159" t="s">
        <v>474</v>
      </c>
      <c r="E42" s="160"/>
      <c r="F42" s="160"/>
      <c r="G42" s="160"/>
      <c r="H42" s="160"/>
      <c r="I42" s="161"/>
      <c r="J42" s="2"/>
      <c r="K42" s="2"/>
      <c r="L42" s="2"/>
      <c r="V42" s="153" t="s">
        <v>475</v>
      </c>
      <c r="W42" s="154"/>
      <c r="X42" s="3" t="s">
        <v>476</v>
      </c>
      <c r="Y42" s="3" t="s">
        <v>476</v>
      </c>
      <c r="Z42" s="3" t="s">
        <v>476</v>
      </c>
    </row>
    <row r="44" spans="3:26" x14ac:dyDescent="0.15">
      <c r="C44" s="162" t="s">
        <v>477</v>
      </c>
      <c r="D44" s="165" t="s">
        <v>478</v>
      </c>
      <c r="E44" s="168" t="s">
        <v>479</v>
      </c>
      <c r="F44" s="168" t="s">
        <v>480</v>
      </c>
      <c r="G44" s="162" t="s">
        <v>481</v>
      </c>
      <c r="H44" s="162" t="s">
        <v>482</v>
      </c>
      <c r="I44" s="162" t="s">
        <v>483</v>
      </c>
      <c r="J44" s="162" t="s">
        <v>484</v>
      </c>
      <c r="K44" s="5" t="s">
        <v>485</v>
      </c>
      <c r="L44" s="5" t="s">
        <v>485</v>
      </c>
      <c r="M44" s="5" t="s">
        <v>485</v>
      </c>
      <c r="N44" s="5" t="s">
        <v>486</v>
      </c>
      <c r="O44" s="5" t="s">
        <v>486</v>
      </c>
      <c r="P44" s="5" t="s">
        <v>486</v>
      </c>
      <c r="Q44" s="162" t="s">
        <v>487</v>
      </c>
      <c r="R44" s="162" t="s">
        <v>488</v>
      </c>
      <c r="S44" s="162" t="s">
        <v>489</v>
      </c>
      <c r="T44" s="162" t="s">
        <v>490</v>
      </c>
      <c r="U44" s="162" t="s">
        <v>491</v>
      </c>
      <c r="V44" s="171" t="s">
        <v>492</v>
      </c>
      <c r="W44" s="172"/>
      <c r="X44" s="172"/>
      <c r="Y44" s="172"/>
      <c r="Z44" s="173"/>
    </row>
    <row r="45" spans="3:26" x14ac:dyDescent="0.15">
      <c r="C45" s="163"/>
      <c r="D45" s="166"/>
      <c r="E45" s="169"/>
      <c r="F45" s="169"/>
      <c r="G45" s="166"/>
      <c r="H45" s="166"/>
      <c r="I45" s="166"/>
      <c r="J45" s="166"/>
      <c r="K45" s="5" t="s">
        <v>493</v>
      </c>
      <c r="L45" s="5" t="s">
        <v>494</v>
      </c>
      <c r="M45" s="5" t="s">
        <v>495</v>
      </c>
      <c r="N45" s="5" t="s">
        <v>496</v>
      </c>
      <c r="O45" s="5" t="s">
        <v>497</v>
      </c>
      <c r="P45" s="5" t="s">
        <v>498</v>
      </c>
      <c r="Q45" s="163"/>
      <c r="R45" s="163"/>
      <c r="S45" s="163"/>
      <c r="T45" s="163"/>
      <c r="U45" s="163"/>
      <c r="V45" s="174"/>
      <c r="W45" s="175"/>
      <c r="X45" s="175"/>
      <c r="Y45" s="175"/>
      <c r="Z45" s="176"/>
    </row>
    <row r="46" spans="3:26" x14ac:dyDescent="0.15">
      <c r="C46" s="164"/>
      <c r="D46" s="167"/>
      <c r="E46" s="170"/>
      <c r="F46" s="170"/>
      <c r="G46" s="167"/>
      <c r="H46" s="167"/>
      <c r="I46" s="167"/>
      <c r="J46" s="167"/>
      <c r="K46" s="5" t="s">
        <v>499</v>
      </c>
      <c r="L46" s="5" t="s">
        <v>499</v>
      </c>
      <c r="M46" s="5" t="s">
        <v>499</v>
      </c>
      <c r="N46" s="5" t="s">
        <v>500</v>
      </c>
      <c r="O46" s="5" t="s">
        <v>500</v>
      </c>
      <c r="P46" s="5" t="s">
        <v>500</v>
      </c>
      <c r="Q46" s="164"/>
      <c r="R46" s="164"/>
      <c r="S46" s="164"/>
      <c r="T46" s="164"/>
      <c r="U46" s="164"/>
      <c r="V46" s="177"/>
      <c r="W46" s="178"/>
      <c r="X46" s="178"/>
      <c r="Y46" s="178"/>
      <c r="Z46" s="179"/>
    </row>
    <row r="47" spans="3:26" ht="27" x14ac:dyDescent="0.15">
      <c r="C47" s="6"/>
      <c r="D47" s="6"/>
      <c r="E47" s="6"/>
      <c r="F47" s="6"/>
      <c r="G47" s="6"/>
      <c r="H47" s="6"/>
      <c r="I47" s="375" t="s">
        <v>501</v>
      </c>
      <c r="J47" s="375" t="s">
        <v>502</v>
      </c>
      <c r="K47" s="375" t="s">
        <v>503</v>
      </c>
      <c r="L47" s="375" t="s">
        <v>504</v>
      </c>
      <c r="M47" s="375" t="s">
        <v>505</v>
      </c>
      <c r="N47" s="375" t="s">
        <v>506</v>
      </c>
      <c r="O47" s="375" t="s">
        <v>507</v>
      </c>
      <c r="P47" s="375" t="s">
        <v>508</v>
      </c>
      <c r="Q47" s="376" t="s">
        <v>509</v>
      </c>
      <c r="R47" s="377" t="s">
        <v>510</v>
      </c>
      <c r="S47" s="377" t="s">
        <v>511</v>
      </c>
      <c r="T47" s="375" t="s">
        <v>512</v>
      </c>
      <c r="U47" s="377" t="s">
        <v>513</v>
      </c>
      <c r="V47" s="378" t="s">
        <v>477</v>
      </c>
      <c r="W47" s="375" t="s">
        <v>514</v>
      </c>
      <c r="X47" s="375" t="s">
        <v>515</v>
      </c>
      <c r="Y47" s="375" t="s">
        <v>516</v>
      </c>
      <c r="Z47" s="376" t="s">
        <v>517</v>
      </c>
    </row>
    <row r="48" spans="3:26" ht="14.25" thickBot="1" x14ac:dyDescent="0.2"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9">
        <f>SUM(K49:P49)</f>
        <v>30000</v>
      </c>
      <c r="R48" s="6"/>
      <c r="S48" s="6"/>
      <c r="T48" s="7"/>
      <c r="U48" s="7"/>
      <c r="V48" s="6"/>
      <c r="W48" s="6"/>
      <c r="X48" s="6"/>
      <c r="Y48" s="6"/>
      <c r="Z48" s="6"/>
    </row>
    <row r="49" spans="3:26" ht="42.75" thickBot="1" x14ac:dyDescent="0.25">
      <c r="C49" s="109" t="s">
        <v>518</v>
      </c>
      <c r="D49" s="50" t="s">
        <v>519</v>
      </c>
      <c r="E49" s="38" t="s">
        <v>520</v>
      </c>
      <c r="F49" s="107" t="s">
        <v>521</v>
      </c>
      <c r="G49" s="107" t="s">
        <v>522</v>
      </c>
      <c r="H49" s="108" t="s">
        <v>523</v>
      </c>
      <c r="I49" s="384">
        <f>'[1]1実績予想売上関係'!I34</f>
        <v>0</v>
      </c>
      <c r="J49" s="384">
        <f>'[1]1実績予想売上関係'!J34</f>
        <v>49500</v>
      </c>
      <c r="K49" s="368">
        <v>11000</v>
      </c>
      <c r="L49" s="368">
        <v>5000</v>
      </c>
      <c r="M49" s="368">
        <v>7000</v>
      </c>
      <c r="N49" s="384">
        <f>'[1]1実績予想売上関係'!L34</f>
        <v>5000</v>
      </c>
      <c r="O49" s="384">
        <f>'[1]1実績予想売上関係'!M34</f>
        <v>1000</v>
      </c>
      <c r="P49" s="384">
        <f>'[1]1実績予想売上関係'!N34</f>
        <v>1000</v>
      </c>
      <c r="Q49" s="379">
        <f>SUM(K49:P49)</f>
        <v>30000</v>
      </c>
      <c r="R49" s="380">
        <f>IF(I49="","",+Q49-I49)</f>
        <v>30000</v>
      </c>
      <c r="S49" s="388" t="str">
        <f>IF(OR(I49=0,R49=""),"",ROUND(R49/I49,3))</f>
        <v/>
      </c>
      <c r="T49" s="382">
        <f>+Q49-J49</f>
        <v>-19500</v>
      </c>
      <c r="U49" s="383">
        <f>IF(OR(J49=0,T49=0),"",ROUND(T49/J49,2))</f>
        <v>-0.39</v>
      </c>
      <c r="V49" s="48"/>
      <c r="W49" s="52" t="s">
        <v>473</v>
      </c>
      <c r="X49" s="52" t="s">
        <v>473</v>
      </c>
      <c r="Y49" s="52" t="s">
        <v>473</v>
      </c>
      <c r="Z49" s="52" t="s">
        <v>473</v>
      </c>
    </row>
    <row r="50" spans="3:26" ht="21.75" thickBot="1" x14ac:dyDescent="0.25">
      <c r="C50" s="109" t="s">
        <v>524</v>
      </c>
      <c r="D50" s="37" t="s">
        <v>525</v>
      </c>
      <c r="E50" s="38" t="s">
        <v>520</v>
      </c>
      <c r="F50" s="107" t="s">
        <v>521</v>
      </c>
      <c r="G50" s="107" t="s">
        <v>522</v>
      </c>
      <c r="H50" s="107"/>
      <c r="I50" s="384">
        <f>'[1]1実績予想売上関係'!G35</f>
        <v>0</v>
      </c>
      <c r="J50" s="384">
        <f t="shared" ref="J50:P50" si="16">IF($H$14="〇",ROUND(J49*$M$6,),0)</f>
        <v>3960</v>
      </c>
      <c r="K50" s="384">
        <f t="shared" si="16"/>
        <v>880</v>
      </c>
      <c r="L50" s="379">
        <f t="shared" si="16"/>
        <v>400</v>
      </c>
      <c r="M50" s="379">
        <f t="shared" si="16"/>
        <v>560</v>
      </c>
      <c r="N50" s="379">
        <f t="shared" si="16"/>
        <v>400</v>
      </c>
      <c r="O50" s="379">
        <f t="shared" si="16"/>
        <v>80</v>
      </c>
      <c r="P50" s="379">
        <f t="shared" si="16"/>
        <v>80</v>
      </c>
      <c r="Q50" s="379">
        <f>SUM(K50:P50)</f>
        <v>2400</v>
      </c>
      <c r="R50" s="380">
        <f>IF(I50="","",+Q50-I50)</f>
        <v>2400</v>
      </c>
      <c r="S50" s="386" t="str">
        <f>IF(OR(I50=0,R50=""),"",ROUND(R50/I50,3))</f>
        <v/>
      </c>
      <c r="T50" s="382">
        <f>+Q50-J50</f>
        <v>-1560</v>
      </c>
      <c r="U50" s="383">
        <f>IF(OR(J50=0,T50=0),"",ROUND(T50/J50,2))</f>
        <v>-0.39</v>
      </c>
      <c r="V50" s="40"/>
      <c r="W50" s="52" t="s">
        <v>473</v>
      </c>
      <c r="X50" s="52" t="s">
        <v>473</v>
      </c>
      <c r="Y50" s="52" t="s">
        <v>473</v>
      </c>
      <c r="Z50" s="52" t="s">
        <v>473</v>
      </c>
    </row>
    <row r="51" spans="3:26" ht="21.75" thickBot="1" x14ac:dyDescent="0.25">
      <c r="C51" s="109" t="s">
        <v>526</v>
      </c>
      <c r="D51" s="37" t="s">
        <v>527</v>
      </c>
      <c r="E51" s="38" t="s">
        <v>520</v>
      </c>
      <c r="F51" s="107" t="s">
        <v>521</v>
      </c>
      <c r="G51" s="107" t="s">
        <v>522</v>
      </c>
      <c r="H51" s="107"/>
      <c r="I51" s="384">
        <f>SUM(I49:I50)</f>
        <v>0</v>
      </c>
      <c r="J51" s="384">
        <f t="shared" ref="J51:Q51" si="17">SUM(J49:J50)</f>
        <v>53460</v>
      </c>
      <c r="K51" s="384">
        <f t="shared" si="17"/>
        <v>11880</v>
      </c>
      <c r="L51" s="434">
        <f t="shared" si="17"/>
        <v>5400</v>
      </c>
      <c r="M51" s="384">
        <f t="shared" si="17"/>
        <v>7560</v>
      </c>
      <c r="N51" s="384">
        <f t="shared" si="17"/>
        <v>5400</v>
      </c>
      <c r="O51" s="384">
        <f t="shared" si="17"/>
        <v>1080</v>
      </c>
      <c r="P51" s="384">
        <f t="shared" si="17"/>
        <v>1080</v>
      </c>
      <c r="Q51" s="384">
        <f t="shared" si="17"/>
        <v>32400</v>
      </c>
      <c r="R51" s="380"/>
      <c r="S51" s="386"/>
      <c r="T51" s="382"/>
      <c r="U51" s="383"/>
      <c r="V51" s="40"/>
      <c r="W51" s="41"/>
      <c r="X51" s="44"/>
      <c r="Y51" s="45"/>
      <c r="Z51" s="43"/>
    </row>
    <row r="52" spans="3:26" ht="21.75" thickBot="1" x14ac:dyDescent="0.25">
      <c r="C52" s="109" t="s">
        <v>528</v>
      </c>
      <c r="D52" s="122" t="s">
        <v>529</v>
      </c>
      <c r="E52" s="38" t="s">
        <v>520</v>
      </c>
      <c r="F52" s="107" t="s">
        <v>521</v>
      </c>
      <c r="G52" s="107" t="s">
        <v>530</v>
      </c>
      <c r="H52" s="107"/>
      <c r="I52" s="384">
        <f>+I51</f>
        <v>0</v>
      </c>
      <c r="J52" s="384">
        <f t="shared" ref="J52:Q53" si="18">+J51</f>
        <v>53460</v>
      </c>
      <c r="K52" s="390">
        <f t="shared" si="18"/>
        <v>11880</v>
      </c>
      <c r="L52" s="56">
        <f t="shared" si="18"/>
        <v>5400</v>
      </c>
      <c r="M52" s="56">
        <f t="shared" si="18"/>
        <v>7560</v>
      </c>
      <c r="N52" s="56">
        <f t="shared" si="18"/>
        <v>5400</v>
      </c>
      <c r="O52" s="56">
        <f t="shared" si="18"/>
        <v>1080</v>
      </c>
      <c r="P52" s="56">
        <f t="shared" si="18"/>
        <v>1080</v>
      </c>
      <c r="Q52" s="56">
        <f>SUM(K52:P52)</f>
        <v>32400</v>
      </c>
      <c r="R52" s="380">
        <f>IF(I52="","",+Q52-I52)</f>
        <v>32400</v>
      </c>
      <c r="S52" s="386" t="str">
        <f>IF(OR(I52=0,R52=""),"",ROUND(R52/I52,3))</f>
        <v/>
      </c>
      <c r="T52" s="382">
        <f>+Q52-J52</f>
        <v>-21060</v>
      </c>
      <c r="U52" s="383">
        <f>IF(OR(J52=0,T52=0),"",ROUND(T52/J52,2))</f>
        <v>-0.39</v>
      </c>
      <c r="V52" s="40"/>
      <c r="W52" s="52" t="s">
        <v>473</v>
      </c>
      <c r="X52" s="52" t="s">
        <v>473</v>
      </c>
      <c r="Y52" s="52" t="s">
        <v>473</v>
      </c>
      <c r="Z52" s="52" t="s">
        <v>473</v>
      </c>
    </row>
    <row r="53" spans="3:26" ht="21.75" thickBot="1" x14ac:dyDescent="0.25">
      <c r="C53" s="109" t="s">
        <v>531</v>
      </c>
      <c r="D53" s="37" t="s">
        <v>532</v>
      </c>
      <c r="E53" s="38" t="s">
        <v>520</v>
      </c>
      <c r="F53" s="107" t="s">
        <v>521</v>
      </c>
      <c r="G53" s="107" t="s">
        <v>530</v>
      </c>
      <c r="H53" s="107"/>
      <c r="I53" s="384">
        <f>+I52</f>
        <v>0</v>
      </c>
      <c r="J53" s="384">
        <f t="shared" si="18"/>
        <v>53460</v>
      </c>
      <c r="K53" s="384">
        <f t="shared" si="18"/>
        <v>11880</v>
      </c>
      <c r="L53" s="435">
        <f t="shared" si="18"/>
        <v>5400</v>
      </c>
      <c r="M53" s="384">
        <f t="shared" si="18"/>
        <v>7560</v>
      </c>
      <c r="N53" s="384">
        <f t="shared" si="18"/>
        <v>5400</v>
      </c>
      <c r="O53" s="384">
        <f t="shared" si="18"/>
        <v>1080</v>
      </c>
      <c r="P53" s="384">
        <f t="shared" si="18"/>
        <v>1080</v>
      </c>
      <c r="Q53" s="384">
        <f t="shared" si="18"/>
        <v>32400</v>
      </c>
      <c r="R53" s="380"/>
      <c r="S53" s="386"/>
      <c r="T53" s="382"/>
      <c r="U53" s="383"/>
      <c r="V53" s="40"/>
      <c r="W53" s="41"/>
      <c r="X53" s="44"/>
      <c r="Y53" s="45"/>
      <c r="Z53" s="43"/>
    </row>
    <row r="54" spans="3:26" ht="21.75" thickBot="1" x14ac:dyDescent="0.25">
      <c r="C54" s="109"/>
      <c r="D54" s="37" t="s">
        <v>533</v>
      </c>
      <c r="E54" s="38" t="s">
        <v>520</v>
      </c>
      <c r="F54" s="107" t="s">
        <v>521</v>
      </c>
      <c r="G54" s="107"/>
      <c r="H54" s="107"/>
      <c r="I54" s="384">
        <f>+I51-I51</f>
        <v>0</v>
      </c>
      <c r="J54" s="384">
        <f t="shared" ref="J54:Q54" si="19">+J51-J51</f>
        <v>0</v>
      </c>
      <c r="K54" s="384">
        <f t="shared" si="19"/>
        <v>0</v>
      </c>
      <c r="L54" s="384">
        <f t="shared" si="19"/>
        <v>0</v>
      </c>
      <c r="M54" s="384">
        <f t="shared" si="19"/>
        <v>0</v>
      </c>
      <c r="N54" s="384">
        <f t="shared" si="19"/>
        <v>0</v>
      </c>
      <c r="O54" s="384">
        <f t="shared" si="19"/>
        <v>0</v>
      </c>
      <c r="P54" s="384">
        <f t="shared" si="19"/>
        <v>0</v>
      </c>
      <c r="Q54" s="384">
        <f t="shared" si="19"/>
        <v>0</v>
      </c>
      <c r="R54" s="380"/>
      <c r="S54" s="386"/>
      <c r="T54" s="382"/>
      <c r="U54" s="383"/>
      <c r="V54" s="40"/>
      <c r="W54" s="41"/>
      <c r="X54" s="44"/>
      <c r="Y54" s="45"/>
      <c r="Z54" s="43"/>
    </row>
    <row r="55" spans="3:26" ht="21.75" thickBot="1" x14ac:dyDescent="0.25">
      <c r="C55" s="109"/>
      <c r="D55" s="37" t="s">
        <v>534</v>
      </c>
      <c r="E55" s="38"/>
      <c r="F55" s="107"/>
      <c r="G55" s="107"/>
      <c r="H55" s="107"/>
      <c r="I55" s="384"/>
      <c r="J55" s="384"/>
      <c r="K55" s="384"/>
      <c r="L55" s="384"/>
      <c r="M55" s="384"/>
      <c r="N55" s="384"/>
      <c r="O55" s="384"/>
      <c r="P55" s="384"/>
      <c r="Q55" s="384"/>
      <c r="R55" s="380"/>
      <c r="S55" s="386"/>
      <c r="T55" s="382"/>
      <c r="U55" s="383"/>
      <c r="V55" s="40"/>
      <c r="W55" s="41"/>
      <c r="X55" s="44"/>
      <c r="Y55" s="45"/>
      <c r="Z55" s="43"/>
    </row>
    <row r="56" spans="3:26" ht="21.75" thickBot="1" x14ac:dyDescent="0.25">
      <c r="C56" s="109"/>
      <c r="D56" s="122" t="s">
        <v>535</v>
      </c>
      <c r="E56" s="38"/>
      <c r="F56" s="107"/>
      <c r="G56" s="107"/>
      <c r="H56" s="107"/>
      <c r="I56" s="384"/>
      <c r="J56" s="384"/>
      <c r="K56" s="384"/>
      <c r="L56" s="384"/>
      <c r="M56" s="384"/>
      <c r="N56" s="384"/>
      <c r="O56" s="384"/>
      <c r="P56" s="384"/>
      <c r="Q56" s="384"/>
      <c r="R56" s="380"/>
      <c r="S56" s="386"/>
      <c r="T56" s="382"/>
      <c r="U56" s="383"/>
      <c r="V56" s="40"/>
      <c r="W56" s="41"/>
      <c r="X56" s="44"/>
      <c r="Y56" s="45"/>
      <c r="Z56" s="43"/>
    </row>
    <row r="57" spans="3:26" ht="21.75" thickBot="1" x14ac:dyDescent="0.25">
      <c r="C57" s="109"/>
      <c r="D57" s="37" t="s">
        <v>536</v>
      </c>
      <c r="E57" s="38" t="s">
        <v>520</v>
      </c>
      <c r="F57" s="107" t="s">
        <v>521</v>
      </c>
      <c r="G57" s="107" t="s">
        <v>530</v>
      </c>
      <c r="H57" s="107"/>
      <c r="I57" s="384"/>
      <c r="J57" s="390"/>
      <c r="K57" s="107" t="s">
        <v>473</v>
      </c>
      <c r="L57" s="449">
        <v>4320</v>
      </c>
      <c r="M57" s="391">
        <f>+L52</f>
        <v>5400</v>
      </c>
      <c r="N57" s="391">
        <f t="shared" ref="N57:P57" si="20">+M52</f>
        <v>7560</v>
      </c>
      <c r="O57" s="391">
        <f t="shared" si="20"/>
        <v>5400</v>
      </c>
      <c r="P57" s="391">
        <f t="shared" si="20"/>
        <v>1080</v>
      </c>
      <c r="Q57" s="384">
        <f>+I56</f>
        <v>0</v>
      </c>
      <c r="R57" s="380"/>
      <c r="S57" s="386"/>
      <c r="T57" s="382"/>
      <c r="U57" s="383"/>
      <c r="V57" s="40"/>
      <c r="W57" s="41"/>
      <c r="X57" s="44"/>
      <c r="Y57" s="45"/>
      <c r="Z57" s="43"/>
    </row>
    <row r="58" spans="3:26" ht="21.75" thickBot="1" x14ac:dyDescent="0.25">
      <c r="C58" s="109"/>
      <c r="D58" s="37" t="s">
        <v>537</v>
      </c>
      <c r="E58" s="38" t="s">
        <v>520</v>
      </c>
      <c r="F58" s="107" t="s">
        <v>521</v>
      </c>
      <c r="G58" s="107" t="s">
        <v>530</v>
      </c>
      <c r="H58" s="107"/>
      <c r="I58" s="384"/>
      <c r="J58" s="390"/>
      <c r="K58" s="107" t="s">
        <v>473</v>
      </c>
      <c r="L58" s="449">
        <v>3240</v>
      </c>
      <c r="M58" s="435">
        <f>IF(OR($O$6=2,$O$6=3),L57,"")</f>
        <v>4320</v>
      </c>
      <c r="N58" s="435">
        <f>IF(OR($O$6=2,$O$6=3),M57,"")</f>
        <v>5400</v>
      </c>
      <c r="O58" s="435">
        <f t="shared" ref="O58:P58" si="21">IF(OR($O$6=2,$O$6=3),N57,"")</f>
        <v>7560</v>
      </c>
      <c r="P58" s="435">
        <f t="shared" si="21"/>
        <v>5400</v>
      </c>
      <c r="Q58" s="384">
        <f>+I57</f>
        <v>0</v>
      </c>
      <c r="R58" s="380"/>
      <c r="S58" s="386"/>
      <c r="T58" s="382"/>
      <c r="U58" s="383"/>
      <c r="V58" s="40"/>
      <c r="W58" s="41"/>
      <c r="X58" s="44"/>
      <c r="Y58" s="45"/>
      <c r="Z58" s="43"/>
    </row>
    <row r="59" spans="3:26" ht="21.75" thickBot="1" x14ac:dyDescent="0.25">
      <c r="C59" s="109"/>
      <c r="D59" s="37" t="s">
        <v>538</v>
      </c>
      <c r="E59" s="38" t="s">
        <v>520</v>
      </c>
      <c r="F59" s="107" t="s">
        <v>521</v>
      </c>
      <c r="G59" s="107" t="s">
        <v>530</v>
      </c>
      <c r="H59" s="107"/>
      <c r="I59" s="384"/>
      <c r="J59" s="390"/>
      <c r="K59" s="107" t="s">
        <v>473</v>
      </c>
      <c r="L59" s="435">
        <v>0</v>
      </c>
      <c r="M59" s="435">
        <f>IF($O$6=3,L58,0)</f>
        <v>0</v>
      </c>
      <c r="N59" s="435">
        <f>IF($O$6=3,M58,0)</f>
        <v>0</v>
      </c>
      <c r="O59" s="435">
        <f>IF($O$6=3,N58,0)</f>
        <v>0</v>
      </c>
      <c r="P59" s="435">
        <f>IF($O$6=3,O58,0)</f>
        <v>0</v>
      </c>
      <c r="Q59" s="384">
        <f>+I58</f>
        <v>0</v>
      </c>
      <c r="R59" s="380"/>
      <c r="S59" s="386"/>
      <c r="T59" s="382"/>
      <c r="U59" s="383"/>
      <c r="V59" s="40"/>
      <c r="W59" s="41"/>
      <c r="X59" s="44"/>
      <c r="Y59" s="45"/>
      <c r="Z59" s="43"/>
    </row>
    <row r="60" spans="3:26" ht="21.75" thickBot="1" x14ac:dyDescent="0.25">
      <c r="C60" s="109"/>
      <c r="D60" s="122" t="s">
        <v>539</v>
      </c>
      <c r="E60" s="38" t="s">
        <v>520</v>
      </c>
      <c r="F60" s="107" t="s">
        <v>521</v>
      </c>
      <c r="G60" s="107" t="s">
        <v>530</v>
      </c>
      <c r="H60" s="107"/>
      <c r="I60" s="436">
        <f t="shared" ref="I60:J60" si="22">SUM(I57:I59)</f>
        <v>0</v>
      </c>
      <c r="J60" s="436">
        <f t="shared" si="22"/>
        <v>0</v>
      </c>
      <c r="K60" s="107" t="s">
        <v>473</v>
      </c>
      <c r="L60" s="436">
        <f>SUM(L57:L59)</f>
        <v>7560</v>
      </c>
      <c r="M60" s="391">
        <f>SUM(M57:M59)</f>
        <v>9720</v>
      </c>
      <c r="N60" s="391">
        <f t="shared" ref="N60:Q60" si="23">SUM(N57:N59)</f>
        <v>12960</v>
      </c>
      <c r="O60" s="391">
        <f t="shared" si="23"/>
        <v>12960</v>
      </c>
      <c r="P60" s="391">
        <f t="shared" si="23"/>
        <v>6480</v>
      </c>
      <c r="Q60" s="391">
        <f t="shared" si="23"/>
        <v>0</v>
      </c>
      <c r="R60" s="380"/>
      <c r="S60" s="386"/>
      <c r="T60" s="382"/>
      <c r="U60" s="383"/>
      <c r="V60" s="40"/>
      <c r="W60" s="41"/>
      <c r="X60" s="44"/>
      <c r="Y60" s="45"/>
      <c r="Z60" s="43"/>
    </row>
    <row r="61" spans="3:26" ht="21.75" thickBot="1" x14ac:dyDescent="0.25">
      <c r="C61" s="109"/>
      <c r="D61" s="37"/>
      <c r="E61" s="38"/>
      <c r="F61" s="107"/>
      <c r="G61" s="107"/>
      <c r="H61" s="107"/>
      <c r="I61" s="384"/>
      <c r="J61" s="384"/>
      <c r="K61" s="107"/>
      <c r="M61" s="435"/>
      <c r="N61" s="384"/>
      <c r="O61" s="384"/>
      <c r="P61" s="384"/>
      <c r="Q61" s="384"/>
      <c r="R61" s="380"/>
      <c r="S61" s="386"/>
      <c r="T61" s="382"/>
      <c r="U61" s="383"/>
      <c r="V61" s="40"/>
      <c r="W61" s="41"/>
      <c r="X61" s="44"/>
      <c r="Y61" s="45"/>
      <c r="Z61" s="43"/>
    </row>
    <row r="62" spans="3:26" ht="21.75" thickBot="1" x14ac:dyDescent="0.25">
      <c r="C62" s="109"/>
      <c r="D62" s="122" t="s">
        <v>540</v>
      </c>
      <c r="E62" s="38" t="s">
        <v>520</v>
      </c>
      <c r="F62" s="107" t="s">
        <v>521</v>
      </c>
      <c r="G62" s="107" t="s">
        <v>522</v>
      </c>
      <c r="H62" s="107"/>
      <c r="I62" s="384"/>
      <c r="J62" s="368">
        <v>44820</v>
      </c>
      <c r="K62" s="368">
        <v>5160</v>
      </c>
      <c r="L62" s="368">
        <v>2400</v>
      </c>
      <c r="M62" s="123">
        <f>IF($O$6=1,M57,IF($O$6=2,M58,IF($O$6=3,M59,"")))</f>
        <v>4320</v>
      </c>
      <c r="N62" s="123">
        <f t="shared" ref="N62:P62" si="24">IF($O$6=1,N57,IF($O$6=2,N58,IF($O$6=3,N59,"")))</f>
        <v>5400</v>
      </c>
      <c r="O62" s="123">
        <f t="shared" si="24"/>
        <v>7560</v>
      </c>
      <c r="P62" s="123">
        <f t="shared" si="24"/>
        <v>5400</v>
      </c>
      <c r="Q62" s="56">
        <f>SUM(K62:P62)</f>
        <v>30240</v>
      </c>
      <c r="R62" s="380" t="str">
        <f>IF(I62="","",+Q62-I62)</f>
        <v/>
      </c>
      <c r="S62" s="386" t="str">
        <f>IF(OR(I62=0,R62=""),"",ROUND(R62/I62,3))</f>
        <v/>
      </c>
      <c r="T62" s="382">
        <f>+Q62-J62</f>
        <v>-14580</v>
      </c>
      <c r="U62" s="383">
        <f>IF(OR(J62="",T62=""),"",ROUND(T62/J62,2))</f>
        <v>-0.33</v>
      </c>
      <c r="V62" s="40"/>
      <c r="W62" s="52" t="s">
        <v>473</v>
      </c>
      <c r="X62" s="52" t="s">
        <v>473</v>
      </c>
      <c r="Y62" s="52" t="s">
        <v>473</v>
      </c>
      <c r="Z62" s="52" t="s">
        <v>473</v>
      </c>
    </row>
    <row r="63" spans="3:26" ht="21.75" thickBot="1" x14ac:dyDescent="0.25">
      <c r="C63" s="109"/>
      <c r="D63" s="37" t="s">
        <v>541</v>
      </c>
      <c r="E63" s="38" t="s">
        <v>520</v>
      </c>
      <c r="F63" s="107" t="s">
        <v>521</v>
      </c>
      <c r="G63" s="107" t="s">
        <v>530</v>
      </c>
      <c r="H63" s="107"/>
      <c r="I63" s="384"/>
      <c r="J63" s="384">
        <f>+J62</f>
        <v>44820</v>
      </c>
      <c r="K63" s="384">
        <f>+K62</f>
        <v>5160</v>
      </c>
      <c r="L63" s="384">
        <f t="shared" ref="L63:Q63" si="25">+L62</f>
        <v>2400</v>
      </c>
      <c r="M63" s="384">
        <f t="shared" si="25"/>
        <v>4320</v>
      </c>
      <c r="N63" s="384">
        <f t="shared" si="25"/>
        <v>5400</v>
      </c>
      <c r="O63" s="384">
        <f t="shared" si="25"/>
        <v>7560</v>
      </c>
      <c r="P63" s="384">
        <f t="shared" si="25"/>
        <v>5400</v>
      </c>
      <c r="Q63" s="384">
        <f t="shared" si="25"/>
        <v>30240</v>
      </c>
      <c r="R63" s="380" t="str">
        <f>IF(I63="","",+Q63-I63)</f>
        <v/>
      </c>
      <c r="S63" s="386" t="str">
        <f>IF(OR(I63=0,R63=""),"",ROUND(R63/I63,3))</f>
        <v/>
      </c>
      <c r="T63" s="382">
        <f>+Q63-J63</f>
        <v>-14580</v>
      </c>
      <c r="U63" s="383">
        <f>IF(OR(J63="",T63=""),"",ROUND(T63/J63,2))</f>
        <v>-0.33</v>
      </c>
      <c r="V63" s="40"/>
      <c r="W63" s="52" t="s">
        <v>473</v>
      </c>
      <c r="X63" s="52" t="s">
        <v>473</v>
      </c>
      <c r="Y63" s="52" t="s">
        <v>473</v>
      </c>
      <c r="Z63" s="52" t="s">
        <v>473</v>
      </c>
    </row>
    <row r="64" spans="3:26" ht="21.75" thickBot="1" x14ac:dyDescent="0.25">
      <c r="C64" s="109"/>
      <c r="D64" s="122" t="s">
        <v>549</v>
      </c>
      <c r="E64" s="38"/>
      <c r="F64" s="107"/>
      <c r="G64" s="107"/>
      <c r="H64" s="107"/>
      <c r="I64" s="384"/>
      <c r="J64" s="384"/>
      <c r="K64" s="435"/>
      <c r="L64" s="437"/>
      <c r="M64" s="435"/>
      <c r="N64" s="384"/>
      <c r="O64" s="384"/>
      <c r="P64" s="384"/>
      <c r="Q64" s="384"/>
      <c r="R64" s="380"/>
      <c r="S64" s="386"/>
      <c r="T64" s="382"/>
      <c r="U64" s="383"/>
      <c r="V64" s="40"/>
      <c r="W64" s="41"/>
      <c r="X64" s="44"/>
      <c r="Y64" s="45"/>
      <c r="Z64" s="43"/>
    </row>
    <row r="65" spans="3:26" ht="21.75" thickBot="1" x14ac:dyDescent="0.25">
      <c r="C65" s="109"/>
      <c r="D65" s="37" t="s">
        <v>543</v>
      </c>
      <c r="E65" s="38" t="s">
        <v>520</v>
      </c>
      <c r="F65" s="107" t="s">
        <v>521</v>
      </c>
      <c r="G65" s="107" t="s">
        <v>530</v>
      </c>
      <c r="H65" s="107"/>
      <c r="I65" s="384"/>
      <c r="J65" s="384"/>
      <c r="K65" s="438"/>
      <c r="L65" s="391">
        <f>+L52</f>
        <v>5400</v>
      </c>
      <c r="M65" s="391">
        <f t="shared" ref="M65:P65" si="26">+M52</f>
        <v>7560</v>
      </c>
      <c r="N65" s="391">
        <f t="shared" si="26"/>
        <v>5400</v>
      </c>
      <c r="O65" s="391">
        <f t="shared" si="26"/>
        <v>1080</v>
      </c>
      <c r="P65" s="391">
        <f t="shared" si="26"/>
        <v>1080</v>
      </c>
      <c r="Q65" s="384">
        <f>+P65</f>
        <v>1080</v>
      </c>
      <c r="R65" s="380"/>
      <c r="S65" s="386"/>
      <c r="T65" s="382"/>
      <c r="U65" s="383"/>
      <c r="V65" s="40"/>
      <c r="W65" s="41"/>
      <c r="X65" s="44"/>
      <c r="Y65" s="45"/>
      <c r="Z65" s="43"/>
    </row>
    <row r="66" spans="3:26" ht="21.75" thickBot="1" x14ac:dyDescent="0.25">
      <c r="C66" s="109"/>
      <c r="D66" s="37" t="s">
        <v>536</v>
      </c>
      <c r="E66" s="38" t="s">
        <v>520</v>
      </c>
      <c r="F66" s="107" t="s">
        <v>521</v>
      </c>
      <c r="G66" s="107" t="s">
        <v>530</v>
      </c>
      <c r="H66" s="107"/>
      <c r="I66" s="384"/>
      <c r="J66" s="384"/>
      <c r="K66" s="435"/>
      <c r="L66" s="435">
        <f>IF(OR($O$6=2,$O$6=3),L57,"")</f>
        <v>4320</v>
      </c>
      <c r="M66" s="435">
        <f>IF(OR($O$6=2,$O$6=3),M57,"")</f>
        <v>5400</v>
      </c>
      <c r="N66" s="435">
        <f t="shared" ref="N66:P66" si="27">IF(OR($O$6=2,$O$6=3),N57,"")</f>
        <v>7560</v>
      </c>
      <c r="O66" s="435">
        <f t="shared" si="27"/>
        <v>5400</v>
      </c>
      <c r="P66" s="435">
        <f t="shared" si="27"/>
        <v>1080</v>
      </c>
      <c r="Q66" s="384">
        <f t="shared" ref="Q66:Q67" si="28">+P66</f>
        <v>1080</v>
      </c>
      <c r="R66" s="380"/>
      <c r="S66" s="386"/>
      <c r="T66" s="382"/>
      <c r="U66" s="383"/>
      <c r="V66" s="40"/>
      <c r="W66" s="41"/>
      <c r="X66" s="44"/>
      <c r="Y66" s="45"/>
      <c r="Z66" s="43"/>
    </row>
    <row r="67" spans="3:26" ht="21.75" thickBot="1" x14ac:dyDescent="0.25">
      <c r="C67" s="109"/>
      <c r="D67" s="37" t="s">
        <v>537</v>
      </c>
      <c r="E67" s="38" t="s">
        <v>520</v>
      </c>
      <c r="F67" s="107" t="s">
        <v>521</v>
      </c>
      <c r="G67" s="107" t="s">
        <v>530</v>
      </c>
      <c r="H67" s="107"/>
      <c r="I67" s="384"/>
      <c r="J67" s="384"/>
      <c r="K67" s="435"/>
      <c r="L67" s="435">
        <f>IF($O$6=3,L58,0)</f>
        <v>0</v>
      </c>
      <c r="M67" s="435">
        <f>IF($O$6=3,M58,0)</f>
        <v>0</v>
      </c>
      <c r="N67" s="435">
        <f>IF($O$6=3,N58,0)</f>
        <v>0</v>
      </c>
      <c r="O67" s="435">
        <f>IF($O$6=3,O58,0)</f>
        <v>0</v>
      </c>
      <c r="P67" s="435">
        <f>IF($O$6=3,P58,0)</f>
        <v>0</v>
      </c>
      <c r="Q67" s="384">
        <f t="shared" si="28"/>
        <v>0</v>
      </c>
      <c r="R67" s="380"/>
      <c r="S67" s="386"/>
      <c r="T67" s="382"/>
      <c r="U67" s="383"/>
      <c r="V67" s="40"/>
      <c r="W67" s="41"/>
      <c r="X67" s="44"/>
      <c r="Y67" s="45"/>
      <c r="Z67" s="43"/>
    </row>
    <row r="68" spans="3:26" ht="21.75" thickBot="1" x14ac:dyDescent="0.25">
      <c r="C68" s="46"/>
      <c r="D68" s="122" t="s">
        <v>544</v>
      </c>
      <c r="E68" s="38" t="s">
        <v>520</v>
      </c>
      <c r="F68" s="107" t="s">
        <v>521</v>
      </c>
      <c r="G68" s="107" t="s">
        <v>530</v>
      </c>
      <c r="H68" s="107"/>
      <c r="I68" s="384">
        <v>0</v>
      </c>
      <c r="J68" s="421">
        <f>+J52+J60-J62</f>
        <v>8640</v>
      </c>
      <c r="K68" s="384"/>
      <c r="L68" s="123">
        <f>SUM(L65:L67)</f>
        <v>9720</v>
      </c>
      <c r="M68" s="123">
        <f t="shared" ref="M68:Q68" si="29">SUM(M65:M67)</f>
        <v>12960</v>
      </c>
      <c r="N68" s="123">
        <f t="shared" si="29"/>
        <v>12960</v>
      </c>
      <c r="O68" s="123">
        <f t="shared" si="29"/>
        <v>6480</v>
      </c>
      <c r="P68" s="123">
        <f t="shared" si="29"/>
        <v>2160</v>
      </c>
      <c r="Q68" s="123">
        <f t="shared" si="29"/>
        <v>2160</v>
      </c>
      <c r="R68" s="380">
        <f>IF(I68="","",+Q68-I68)</f>
        <v>2160</v>
      </c>
      <c r="S68" s="386" t="str">
        <f>IF(OR(I68=0,R68=""),"",ROUND(R68/I68,3))</f>
        <v/>
      </c>
      <c r="T68" s="382">
        <f>+Q68-J68</f>
        <v>-6480</v>
      </c>
      <c r="U68" s="383">
        <f>IF(OR(J68="",T68=""),"",ROUND(T68/J68,2))</f>
        <v>-0.75</v>
      </c>
      <c r="V68" s="40"/>
      <c r="W68" s="52" t="s">
        <v>473</v>
      </c>
      <c r="X68" s="52" t="s">
        <v>473</v>
      </c>
      <c r="Y68" s="52" t="s">
        <v>473</v>
      </c>
      <c r="Z68" s="52" t="s">
        <v>473</v>
      </c>
    </row>
    <row r="69" spans="3:26" ht="24" x14ac:dyDescent="0.2">
      <c r="D69" s="439" t="s">
        <v>533</v>
      </c>
      <c r="J69" s="106"/>
      <c r="M69" s="435">
        <f>M60-L68</f>
        <v>0</v>
      </c>
      <c r="N69" s="435">
        <f t="shared" ref="N69:P69" si="30">N60-M68</f>
        <v>0</v>
      </c>
      <c r="O69" s="435">
        <f t="shared" si="30"/>
        <v>0</v>
      </c>
      <c r="P69" s="435">
        <f t="shared" si="30"/>
        <v>0</v>
      </c>
      <c r="Q69" s="435">
        <f>+Q52+Q57-Q62-Q68</f>
        <v>0</v>
      </c>
    </row>
    <row r="72" spans="3:26" ht="24" x14ac:dyDescent="0.15">
      <c r="C72" s="155" t="s">
        <v>581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</row>
    <row r="73" spans="3:26" ht="14.25" thickBot="1" x14ac:dyDescent="0.2"/>
    <row r="74" spans="3:26" ht="18" thickBot="1" x14ac:dyDescent="0.2">
      <c r="D74" s="1" t="s">
        <v>469</v>
      </c>
      <c r="E74" s="367" t="s">
        <v>550</v>
      </c>
      <c r="F74" s="156"/>
      <c r="G74" s="156"/>
      <c r="H74" s="157"/>
      <c r="I74" s="158"/>
      <c r="J74" s="2"/>
      <c r="K74" s="2"/>
      <c r="L74" s="2"/>
      <c r="V74" s="153" t="s">
        <v>546</v>
      </c>
      <c r="W74" s="154"/>
      <c r="X74" s="67" t="s">
        <v>621</v>
      </c>
      <c r="Y74" s="67" t="s">
        <v>624</v>
      </c>
      <c r="Z74" s="67" t="s">
        <v>625</v>
      </c>
    </row>
    <row r="75" spans="3:26" ht="18" thickBot="1" x14ac:dyDescent="0.2">
      <c r="D75" s="1" t="s">
        <v>462</v>
      </c>
      <c r="E75" s="367" t="s">
        <v>551</v>
      </c>
      <c r="F75" s="156"/>
      <c r="G75" s="156"/>
      <c r="H75" s="157"/>
      <c r="I75" s="158"/>
      <c r="J75" s="2"/>
      <c r="K75" s="2"/>
      <c r="L75" s="2"/>
      <c r="M75" s="121" t="s">
        <v>464</v>
      </c>
      <c r="O75" t="s">
        <v>465</v>
      </c>
      <c r="V75" s="153" t="s">
        <v>466</v>
      </c>
      <c r="W75" s="154"/>
      <c r="X75" s="3" t="s">
        <v>467</v>
      </c>
      <c r="Y75" s="3" t="s">
        <v>468</v>
      </c>
      <c r="Z75" s="3" t="s">
        <v>469</v>
      </c>
    </row>
    <row r="76" spans="3:26" ht="18" thickBot="1" x14ac:dyDescent="0.25">
      <c r="D76" s="4" t="s">
        <v>470</v>
      </c>
      <c r="E76" s="152" t="s">
        <v>471</v>
      </c>
      <c r="F76" s="152"/>
      <c r="G76" s="152"/>
      <c r="H76" s="152"/>
      <c r="I76" s="152"/>
      <c r="J76" s="2"/>
      <c r="K76" s="2"/>
      <c r="L76" s="2"/>
      <c r="M76" s="448">
        <v>0.08</v>
      </c>
      <c r="O76" s="369">
        <v>2</v>
      </c>
      <c r="P76" s="433" t="str">
        <f>IF($O76=1,"末締翌月末振込入金",IF($O76=2,"末締翌々月末振込入金",IF($O76=3,"末締翌々々月末振込入金","")))</f>
        <v>末締翌々月末振込入金</v>
      </c>
      <c r="Q76" s="313"/>
      <c r="R76" s="313"/>
      <c r="S76" s="313"/>
      <c r="T76" s="314"/>
      <c r="V76" s="153" t="s">
        <v>472</v>
      </c>
      <c r="W76" s="154"/>
      <c r="X76" s="3" t="s">
        <v>473</v>
      </c>
      <c r="Y76" s="3" t="s">
        <v>473</v>
      </c>
      <c r="Z76" s="374" t="str">
        <f>+E74</f>
        <v>全社員合計</v>
      </c>
    </row>
    <row r="77" spans="3:26" ht="14.25" thickBot="1" x14ac:dyDescent="0.2">
      <c r="D77" s="159" t="s">
        <v>474</v>
      </c>
      <c r="E77" s="160"/>
      <c r="F77" s="160"/>
      <c r="G77" s="160"/>
      <c r="H77" s="160"/>
      <c r="I77" s="161"/>
      <c r="J77" s="2"/>
      <c r="K77" s="2"/>
      <c r="L77" s="2"/>
      <c r="V77" s="153" t="s">
        <v>475</v>
      </c>
      <c r="W77" s="154"/>
      <c r="X77" s="3" t="s">
        <v>476</v>
      </c>
      <c r="Y77" s="3" t="s">
        <v>476</v>
      </c>
      <c r="Z77" s="3" t="s">
        <v>476</v>
      </c>
    </row>
    <row r="79" spans="3:26" x14ac:dyDescent="0.15">
      <c r="C79" s="162" t="s">
        <v>477</v>
      </c>
      <c r="D79" s="165" t="s">
        <v>478</v>
      </c>
      <c r="E79" s="168" t="s">
        <v>479</v>
      </c>
      <c r="F79" s="168" t="s">
        <v>480</v>
      </c>
      <c r="G79" s="162" t="s">
        <v>481</v>
      </c>
      <c r="H79" s="162" t="s">
        <v>482</v>
      </c>
      <c r="I79" s="162" t="s">
        <v>552</v>
      </c>
      <c r="J79" s="162" t="s">
        <v>553</v>
      </c>
      <c r="K79" s="5" t="s">
        <v>21</v>
      </c>
      <c r="L79" s="5" t="s">
        <v>21</v>
      </c>
      <c r="M79" s="5" t="s">
        <v>21</v>
      </c>
      <c r="N79" s="5" t="s">
        <v>38</v>
      </c>
      <c r="O79" s="5" t="s">
        <v>38</v>
      </c>
      <c r="P79" s="5" t="s">
        <v>38</v>
      </c>
      <c r="Q79" s="162" t="s">
        <v>487</v>
      </c>
      <c r="R79" s="162" t="s">
        <v>488</v>
      </c>
      <c r="S79" s="162" t="s">
        <v>489</v>
      </c>
      <c r="T79" s="162" t="s">
        <v>490</v>
      </c>
      <c r="U79" s="162" t="s">
        <v>491</v>
      </c>
      <c r="V79" s="171" t="s">
        <v>492</v>
      </c>
      <c r="W79" s="172"/>
      <c r="X79" s="172"/>
      <c r="Y79" s="172"/>
      <c r="Z79" s="173"/>
    </row>
    <row r="80" spans="3:26" x14ac:dyDescent="0.15">
      <c r="C80" s="163"/>
      <c r="D80" s="166"/>
      <c r="E80" s="169"/>
      <c r="F80" s="169"/>
      <c r="G80" s="166"/>
      <c r="H80" s="166"/>
      <c r="I80" s="166"/>
      <c r="J80" s="166"/>
      <c r="K80" s="5" t="s">
        <v>493</v>
      </c>
      <c r="L80" s="5" t="s">
        <v>494</v>
      </c>
      <c r="M80" s="5" t="s">
        <v>495</v>
      </c>
      <c r="N80" s="5" t="s">
        <v>496</v>
      </c>
      <c r="O80" s="5" t="s">
        <v>497</v>
      </c>
      <c r="P80" s="5" t="s">
        <v>498</v>
      </c>
      <c r="Q80" s="163"/>
      <c r="R80" s="163"/>
      <c r="S80" s="163"/>
      <c r="T80" s="163"/>
      <c r="U80" s="163"/>
      <c r="V80" s="174"/>
      <c r="W80" s="175"/>
      <c r="X80" s="175"/>
      <c r="Y80" s="175"/>
      <c r="Z80" s="176"/>
    </row>
    <row r="81" spans="3:26" x14ac:dyDescent="0.15">
      <c r="C81" s="164"/>
      <c r="D81" s="167"/>
      <c r="E81" s="170"/>
      <c r="F81" s="170"/>
      <c r="G81" s="167"/>
      <c r="H81" s="167"/>
      <c r="I81" s="167"/>
      <c r="J81" s="167"/>
      <c r="K81" s="5" t="s">
        <v>499</v>
      </c>
      <c r="L81" s="5" t="s">
        <v>499</v>
      </c>
      <c r="M81" s="5" t="s">
        <v>499</v>
      </c>
      <c r="N81" s="5" t="s">
        <v>500</v>
      </c>
      <c r="O81" s="5" t="s">
        <v>500</v>
      </c>
      <c r="P81" s="5" t="s">
        <v>500</v>
      </c>
      <c r="Q81" s="164"/>
      <c r="R81" s="164"/>
      <c r="S81" s="164"/>
      <c r="T81" s="164"/>
      <c r="U81" s="164"/>
      <c r="V81" s="177"/>
      <c r="W81" s="178"/>
      <c r="X81" s="178"/>
      <c r="Y81" s="178"/>
      <c r="Z81" s="179"/>
    </row>
    <row r="82" spans="3:26" ht="27" x14ac:dyDescent="0.15">
      <c r="C82" s="6"/>
      <c r="D82" s="6"/>
      <c r="E82" s="6"/>
      <c r="F82" s="6"/>
      <c r="G82" s="6"/>
      <c r="H82" s="6"/>
      <c r="I82" s="375" t="s">
        <v>501</v>
      </c>
      <c r="J82" s="375" t="s">
        <v>502</v>
      </c>
      <c r="K82" s="375" t="s">
        <v>503</v>
      </c>
      <c r="L82" s="375" t="s">
        <v>504</v>
      </c>
      <c r="M82" s="375" t="s">
        <v>505</v>
      </c>
      <c r="N82" s="375" t="s">
        <v>506</v>
      </c>
      <c r="O82" s="375" t="s">
        <v>507</v>
      </c>
      <c r="P82" s="375" t="s">
        <v>508</v>
      </c>
      <c r="Q82" s="376" t="s">
        <v>509</v>
      </c>
      <c r="R82" s="377" t="s">
        <v>510</v>
      </c>
      <c r="S82" s="377" t="s">
        <v>511</v>
      </c>
      <c r="T82" s="375" t="s">
        <v>512</v>
      </c>
      <c r="U82" s="377" t="s">
        <v>513</v>
      </c>
      <c r="V82" s="378" t="s">
        <v>477</v>
      </c>
      <c r="W82" s="375" t="s">
        <v>514</v>
      </c>
      <c r="X82" s="375" t="s">
        <v>515</v>
      </c>
      <c r="Y82" s="375" t="s">
        <v>516</v>
      </c>
      <c r="Z82" s="376" t="s">
        <v>517</v>
      </c>
    </row>
    <row r="83" spans="3:26" ht="14.25" thickBot="1" x14ac:dyDescent="0.2"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9"/>
      <c r="R83" s="6"/>
      <c r="S83" s="6"/>
      <c r="T83" s="7"/>
      <c r="U83" s="7"/>
      <c r="V83" s="6"/>
      <c r="W83" s="6"/>
      <c r="X83" s="6"/>
      <c r="Y83" s="6"/>
      <c r="Z83" s="6"/>
    </row>
    <row r="84" spans="3:26" ht="42.75" thickBot="1" x14ac:dyDescent="0.25">
      <c r="C84" s="109" t="s">
        <v>518</v>
      </c>
      <c r="D84" s="50" t="s">
        <v>519</v>
      </c>
      <c r="E84" s="38" t="s">
        <v>520</v>
      </c>
      <c r="F84" s="107" t="s">
        <v>521</v>
      </c>
      <c r="G84" s="107" t="s">
        <v>522</v>
      </c>
      <c r="H84" s="108" t="s">
        <v>523</v>
      </c>
      <c r="I84" s="384">
        <f>+I14+I49</f>
        <v>0</v>
      </c>
      <c r="J84" s="384">
        <f t="shared" ref="J84:P85" si="31">+J14+J49</f>
        <v>165000</v>
      </c>
      <c r="K84" s="384">
        <f t="shared" si="31"/>
        <v>41000</v>
      </c>
      <c r="L84" s="384">
        <f t="shared" si="31"/>
        <v>15000</v>
      </c>
      <c r="M84" s="384">
        <f t="shared" si="31"/>
        <v>29500</v>
      </c>
      <c r="N84" s="384">
        <f t="shared" si="31"/>
        <v>6881</v>
      </c>
      <c r="O84" s="384">
        <f t="shared" si="31"/>
        <v>4700</v>
      </c>
      <c r="P84" s="384">
        <f t="shared" si="31"/>
        <v>2919</v>
      </c>
      <c r="Q84" s="379">
        <f>SUM(K84:P84)</f>
        <v>100000</v>
      </c>
      <c r="R84" s="380">
        <f>IF(I84="","",+Q84-I84)</f>
        <v>100000</v>
      </c>
      <c r="S84" s="388" t="str">
        <f>IF(OR(I84=0,R84=""),"",ROUND(R84/I84,3))</f>
        <v/>
      </c>
      <c r="T84" s="382">
        <f>+Q84-J84</f>
        <v>-65000</v>
      </c>
      <c r="U84" s="383">
        <f>IF(OR(J84=0,T84=0),"",ROUND(T84/J84,2))</f>
        <v>-0.39</v>
      </c>
      <c r="V84" s="48"/>
      <c r="W84" s="52" t="s">
        <v>473</v>
      </c>
      <c r="X84" s="52" t="s">
        <v>473</v>
      </c>
      <c r="Y84" s="52" t="s">
        <v>473</v>
      </c>
      <c r="Z84" s="52" t="s">
        <v>473</v>
      </c>
    </row>
    <row r="85" spans="3:26" ht="21.75" thickBot="1" x14ac:dyDescent="0.25">
      <c r="C85" s="109" t="s">
        <v>524</v>
      </c>
      <c r="D85" s="37" t="s">
        <v>525</v>
      </c>
      <c r="E85" s="38" t="s">
        <v>520</v>
      </c>
      <c r="F85" s="107" t="s">
        <v>521</v>
      </c>
      <c r="G85" s="107" t="s">
        <v>522</v>
      </c>
      <c r="H85" s="107"/>
      <c r="I85" s="384">
        <f>'[1]1実績予想売上関係'!G70</f>
        <v>0</v>
      </c>
      <c r="J85" s="384">
        <f t="shared" si="31"/>
        <v>13200</v>
      </c>
      <c r="K85" s="384">
        <f t="shared" si="31"/>
        <v>3280</v>
      </c>
      <c r="L85" s="384">
        <f t="shared" si="31"/>
        <v>1200</v>
      </c>
      <c r="M85" s="384">
        <f t="shared" si="31"/>
        <v>2360</v>
      </c>
      <c r="N85" s="384">
        <f t="shared" si="31"/>
        <v>550</v>
      </c>
      <c r="O85" s="384">
        <f t="shared" si="31"/>
        <v>376</v>
      </c>
      <c r="P85" s="384">
        <f t="shared" si="31"/>
        <v>234</v>
      </c>
      <c r="Q85" s="379">
        <f>SUM(K85:P85)</f>
        <v>8000</v>
      </c>
      <c r="R85" s="380">
        <f>IF(I85="","",+Q85-I85)</f>
        <v>8000</v>
      </c>
      <c r="S85" s="386" t="str">
        <f>IF(OR(I85=0,R85=""),"",ROUND(R85/I85,3))</f>
        <v/>
      </c>
      <c r="T85" s="382">
        <f>+Q85-J85</f>
        <v>-5200</v>
      </c>
      <c r="U85" s="383">
        <f>IF(OR(J85=0,T85=0),"",ROUND(T85/J85,2))</f>
        <v>-0.39</v>
      </c>
      <c r="V85" s="40"/>
      <c r="W85" s="52" t="s">
        <v>473</v>
      </c>
      <c r="X85" s="52" t="s">
        <v>473</v>
      </c>
      <c r="Y85" s="52" t="s">
        <v>473</v>
      </c>
      <c r="Z85" s="52" t="s">
        <v>473</v>
      </c>
    </row>
    <row r="86" spans="3:26" ht="21.75" thickBot="1" x14ac:dyDescent="0.25">
      <c r="C86" s="109" t="s">
        <v>526</v>
      </c>
      <c r="D86" s="37" t="s">
        <v>527</v>
      </c>
      <c r="E86" s="38" t="s">
        <v>520</v>
      </c>
      <c r="F86" s="107" t="s">
        <v>521</v>
      </c>
      <c r="G86" s="107" t="s">
        <v>522</v>
      </c>
      <c r="H86" s="107"/>
      <c r="I86" s="384">
        <f>SUM(I84:I85)</f>
        <v>0</v>
      </c>
      <c r="J86" s="384">
        <f t="shared" ref="J86:Q86" si="32">SUM(J84:J85)</f>
        <v>178200</v>
      </c>
      <c r="K86" s="384">
        <f t="shared" si="32"/>
        <v>44280</v>
      </c>
      <c r="L86" s="434">
        <f t="shared" si="32"/>
        <v>16200</v>
      </c>
      <c r="M86" s="384">
        <f t="shared" si="32"/>
        <v>31860</v>
      </c>
      <c r="N86" s="384">
        <f t="shared" si="32"/>
        <v>7431</v>
      </c>
      <c r="O86" s="384">
        <f t="shared" si="32"/>
        <v>5076</v>
      </c>
      <c r="P86" s="384">
        <f t="shared" si="32"/>
        <v>3153</v>
      </c>
      <c r="Q86" s="384">
        <f t="shared" si="32"/>
        <v>108000</v>
      </c>
      <c r="R86" s="380"/>
      <c r="S86" s="386"/>
      <c r="T86" s="382"/>
      <c r="U86" s="383"/>
      <c r="V86" s="40"/>
      <c r="W86" s="41"/>
      <c r="X86" s="44"/>
      <c r="Y86" s="45"/>
      <c r="Z86" s="43"/>
    </row>
    <row r="87" spans="3:26" ht="21.75" thickBot="1" x14ac:dyDescent="0.25">
      <c r="C87" s="109" t="s">
        <v>528</v>
      </c>
      <c r="D87" s="122" t="s">
        <v>529</v>
      </c>
      <c r="E87" s="38" t="s">
        <v>520</v>
      </c>
      <c r="F87" s="107" t="s">
        <v>521</v>
      </c>
      <c r="G87" s="107" t="s">
        <v>530</v>
      </c>
      <c r="H87" s="107"/>
      <c r="I87" s="384">
        <f>+I86</f>
        <v>0</v>
      </c>
      <c r="J87" s="384">
        <f t="shared" ref="J87:Q88" si="33">+J86</f>
        <v>178200</v>
      </c>
      <c r="K87" s="390">
        <f t="shared" si="33"/>
        <v>44280</v>
      </c>
      <c r="L87" s="56">
        <f t="shared" si="33"/>
        <v>16200</v>
      </c>
      <c r="M87" s="56">
        <f t="shared" si="33"/>
        <v>31860</v>
      </c>
      <c r="N87" s="56">
        <f t="shared" si="33"/>
        <v>7431</v>
      </c>
      <c r="O87" s="56">
        <f t="shared" si="33"/>
        <v>5076</v>
      </c>
      <c r="P87" s="56">
        <f t="shared" si="33"/>
        <v>3153</v>
      </c>
      <c r="Q87" s="56">
        <f>SUM(K87:P87)</f>
        <v>108000</v>
      </c>
      <c r="R87" s="380">
        <f>IF(I87="","",+Q87-I87)</f>
        <v>108000</v>
      </c>
      <c r="S87" s="386" t="str">
        <f>IF(OR(I87=0,R87=""),"",ROUND(R87/I87,3))</f>
        <v/>
      </c>
      <c r="T87" s="382">
        <f>+Q87-J87</f>
        <v>-70200</v>
      </c>
      <c r="U87" s="383">
        <f>IF(OR(J87=0,T87=0),"",ROUND(T87/J87,2))</f>
        <v>-0.39</v>
      </c>
      <c r="V87" s="40"/>
      <c r="W87" s="52" t="s">
        <v>473</v>
      </c>
      <c r="X87" s="52" t="s">
        <v>473</v>
      </c>
      <c r="Y87" s="52" t="s">
        <v>473</v>
      </c>
      <c r="Z87" s="52" t="s">
        <v>473</v>
      </c>
    </row>
    <row r="88" spans="3:26" ht="21.75" thickBot="1" x14ac:dyDescent="0.25">
      <c r="C88" s="109" t="s">
        <v>531</v>
      </c>
      <c r="D88" s="37" t="s">
        <v>532</v>
      </c>
      <c r="E88" s="38" t="s">
        <v>520</v>
      </c>
      <c r="F88" s="107" t="s">
        <v>521</v>
      </c>
      <c r="G88" s="107" t="s">
        <v>530</v>
      </c>
      <c r="H88" s="107"/>
      <c r="I88" s="384">
        <f>+I87</f>
        <v>0</v>
      </c>
      <c r="J88" s="384">
        <f t="shared" si="33"/>
        <v>178200</v>
      </c>
      <c r="K88" s="384">
        <f t="shared" si="33"/>
        <v>44280</v>
      </c>
      <c r="L88" s="435">
        <f t="shared" si="33"/>
        <v>16200</v>
      </c>
      <c r="M88" s="384">
        <f t="shared" si="33"/>
        <v>31860</v>
      </c>
      <c r="N88" s="384">
        <f t="shared" si="33"/>
        <v>7431</v>
      </c>
      <c r="O88" s="384">
        <f t="shared" si="33"/>
        <v>5076</v>
      </c>
      <c r="P88" s="384">
        <f t="shared" si="33"/>
        <v>3153</v>
      </c>
      <c r="Q88" s="384">
        <f t="shared" si="33"/>
        <v>108000</v>
      </c>
      <c r="R88" s="380"/>
      <c r="S88" s="386"/>
      <c r="T88" s="382"/>
      <c r="U88" s="383"/>
      <c r="V88" s="40"/>
      <c r="W88" s="41"/>
      <c r="X88" s="44"/>
      <c r="Y88" s="45"/>
      <c r="Z88" s="43"/>
    </row>
    <row r="89" spans="3:26" ht="21.75" thickBot="1" x14ac:dyDescent="0.25">
      <c r="C89" s="109"/>
      <c r="D89" s="37" t="s">
        <v>533</v>
      </c>
      <c r="E89" s="38" t="s">
        <v>520</v>
      </c>
      <c r="F89" s="107" t="s">
        <v>521</v>
      </c>
      <c r="G89" s="107"/>
      <c r="H89" s="107"/>
      <c r="I89" s="384">
        <f>+I86-I86</f>
        <v>0</v>
      </c>
      <c r="J89" s="384">
        <f t="shared" ref="J89:Q89" si="34">+J86-J86</f>
        <v>0</v>
      </c>
      <c r="K89" s="384">
        <f t="shared" si="34"/>
        <v>0</v>
      </c>
      <c r="L89" s="384">
        <f t="shared" si="34"/>
        <v>0</v>
      </c>
      <c r="M89" s="384">
        <f t="shared" si="34"/>
        <v>0</v>
      </c>
      <c r="N89" s="384">
        <f t="shared" si="34"/>
        <v>0</v>
      </c>
      <c r="O89" s="384">
        <f t="shared" si="34"/>
        <v>0</v>
      </c>
      <c r="P89" s="384">
        <f t="shared" si="34"/>
        <v>0</v>
      </c>
      <c r="Q89" s="384">
        <f t="shared" si="34"/>
        <v>0</v>
      </c>
      <c r="R89" s="380"/>
      <c r="S89" s="386"/>
      <c r="T89" s="382"/>
      <c r="U89" s="383"/>
      <c r="V89" s="40"/>
      <c r="W89" s="41"/>
      <c r="X89" s="44"/>
      <c r="Y89" s="45"/>
      <c r="Z89" s="43"/>
    </row>
    <row r="90" spans="3:26" ht="21.75" thickBot="1" x14ac:dyDescent="0.25">
      <c r="C90" s="109"/>
      <c r="D90" s="37" t="s">
        <v>534</v>
      </c>
      <c r="E90" s="38"/>
      <c r="F90" s="107"/>
      <c r="G90" s="107"/>
      <c r="H90" s="107"/>
      <c r="I90" s="384"/>
      <c r="J90" s="384"/>
      <c r="K90" s="384"/>
      <c r="L90" s="384"/>
      <c r="M90" s="384"/>
      <c r="N90" s="384"/>
      <c r="O90" s="384"/>
      <c r="P90" s="384"/>
      <c r="Q90" s="384"/>
      <c r="R90" s="380"/>
      <c r="S90" s="386"/>
      <c r="T90" s="382"/>
      <c r="U90" s="383"/>
      <c r="V90" s="40"/>
      <c r="W90" s="41"/>
      <c r="X90" s="44"/>
      <c r="Y90" s="45"/>
      <c r="Z90" s="43"/>
    </row>
    <row r="91" spans="3:26" ht="21.75" thickBot="1" x14ac:dyDescent="0.25">
      <c r="C91" s="109"/>
      <c r="D91" s="122" t="s">
        <v>554</v>
      </c>
      <c r="E91" s="38"/>
      <c r="F91" s="107"/>
      <c r="G91" s="107"/>
      <c r="H91" s="107"/>
      <c r="I91" s="384"/>
      <c r="J91" s="384"/>
      <c r="K91" s="384"/>
      <c r="L91" s="384"/>
      <c r="M91" s="384"/>
      <c r="N91" s="384"/>
      <c r="O91" s="384"/>
      <c r="P91" s="384"/>
      <c r="Q91" s="384"/>
      <c r="R91" s="380"/>
      <c r="S91" s="386"/>
      <c r="T91" s="382"/>
      <c r="U91" s="383"/>
      <c r="V91" s="40"/>
      <c r="W91" s="41"/>
      <c r="X91" s="44"/>
      <c r="Y91" s="45"/>
      <c r="Z91" s="43"/>
    </row>
    <row r="92" spans="3:26" ht="21.75" thickBot="1" x14ac:dyDescent="0.25">
      <c r="C92" s="109"/>
      <c r="D92" s="37" t="s">
        <v>536</v>
      </c>
      <c r="E92" s="38" t="s">
        <v>520</v>
      </c>
      <c r="F92" s="107" t="s">
        <v>521</v>
      </c>
      <c r="G92" s="107" t="s">
        <v>530</v>
      </c>
      <c r="H92" s="107"/>
      <c r="I92" s="384">
        <f t="shared" ref="I92:Q103" si="35">+I22+I57</f>
        <v>0</v>
      </c>
      <c r="J92" s="384">
        <f t="shared" si="35"/>
        <v>0</v>
      </c>
      <c r="K92" s="107" t="s">
        <v>473</v>
      </c>
      <c r="L92" s="384">
        <f t="shared" si="35"/>
        <v>15120</v>
      </c>
      <c r="M92" s="384">
        <f t="shared" si="35"/>
        <v>16200</v>
      </c>
      <c r="N92" s="384">
        <f t="shared" si="35"/>
        <v>31860</v>
      </c>
      <c r="O92" s="384">
        <f t="shared" si="35"/>
        <v>7431</v>
      </c>
      <c r="P92" s="384">
        <f t="shared" si="35"/>
        <v>5076</v>
      </c>
      <c r="Q92" s="384">
        <f>+I91</f>
        <v>0</v>
      </c>
      <c r="R92" s="380"/>
      <c r="S92" s="386"/>
      <c r="T92" s="382"/>
      <c r="U92" s="383"/>
      <c r="V92" s="40"/>
      <c r="W92" s="41"/>
      <c r="X92" s="44"/>
      <c r="Y92" s="45"/>
      <c r="Z92" s="43"/>
    </row>
    <row r="93" spans="3:26" ht="21.75" thickBot="1" x14ac:dyDescent="0.25">
      <c r="C93" s="109"/>
      <c r="D93" s="37" t="s">
        <v>537</v>
      </c>
      <c r="E93" s="38" t="s">
        <v>520</v>
      </c>
      <c r="F93" s="107" t="s">
        <v>521</v>
      </c>
      <c r="G93" s="107" t="s">
        <v>530</v>
      </c>
      <c r="H93" s="107"/>
      <c r="I93" s="384">
        <f t="shared" si="35"/>
        <v>0</v>
      </c>
      <c r="J93" s="384">
        <f t="shared" si="35"/>
        <v>0</v>
      </c>
      <c r="K93" s="107" t="s">
        <v>473</v>
      </c>
      <c r="L93" s="384">
        <f t="shared" si="35"/>
        <v>14040</v>
      </c>
      <c r="M93" s="384">
        <f t="shared" si="35"/>
        <v>15120</v>
      </c>
      <c r="N93" s="384">
        <f t="shared" si="35"/>
        <v>16200</v>
      </c>
      <c r="O93" s="384">
        <f t="shared" si="35"/>
        <v>31860</v>
      </c>
      <c r="P93" s="384">
        <f t="shared" si="35"/>
        <v>7431</v>
      </c>
      <c r="Q93" s="384">
        <f>+I92</f>
        <v>0</v>
      </c>
      <c r="R93" s="380"/>
      <c r="S93" s="386"/>
      <c r="T93" s="382"/>
      <c r="U93" s="383"/>
      <c r="V93" s="40"/>
      <c r="W93" s="41"/>
      <c r="X93" s="44"/>
      <c r="Y93" s="45"/>
      <c r="Z93" s="43"/>
    </row>
    <row r="94" spans="3:26" ht="21.75" thickBot="1" x14ac:dyDescent="0.25">
      <c r="C94" s="109"/>
      <c r="D94" s="37" t="s">
        <v>538</v>
      </c>
      <c r="E94" s="38" t="s">
        <v>520</v>
      </c>
      <c r="F94" s="107" t="s">
        <v>521</v>
      </c>
      <c r="G94" s="107" t="s">
        <v>530</v>
      </c>
      <c r="H94" s="107"/>
      <c r="I94" s="384">
        <f t="shared" si="35"/>
        <v>0</v>
      </c>
      <c r="J94" s="384">
        <f t="shared" si="35"/>
        <v>0</v>
      </c>
      <c r="K94" s="107" t="s">
        <v>473</v>
      </c>
      <c r="L94" s="384">
        <f t="shared" si="35"/>
        <v>0</v>
      </c>
      <c r="M94" s="384">
        <f t="shared" si="35"/>
        <v>0</v>
      </c>
      <c r="N94" s="384">
        <f t="shared" si="35"/>
        <v>0</v>
      </c>
      <c r="O94" s="384">
        <f t="shared" si="35"/>
        <v>0</v>
      </c>
      <c r="P94" s="384">
        <f t="shared" si="35"/>
        <v>0</v>
      </c>
      <c r="Q94" s="384">
        <f>+I93</f>
        <v>0</v>
      </c>
      <c r="R94" s="380"/>
      <c r="S94" s="386"/>
      <c r="T94" s="382"/>
      <c r="U94" s="383"/>
      <c r="V94" s="40"/>
      <c r="W94" s="41"/>
      <c r="X94" s="44"/>
      <c r="Y94" s="45"/>
      <c r="Z94" s="43"/>
    </row>
    <row r="95" spans="3:26" ht="21.75" thickBot="1" x14ac:dyDescent="0.25">
      <c r="C95" s="109"/>
      <c r="D95" s="122" t="s">
        <v>539</v>
      </c>
      <c r="E95" s="38" t="s">
        <v>520</v>
      </c>
      <c r="F95" s="107" t="s">
        <v>521</v>
      </c>
      <c r="G95" s="107" t="s">
        <v>530</v>
      </c>
      <c r="H95" s="107"/>
      <c r="I95" s="384">
        <f t="shared" si="35"/>
        <v>0</v>
      </c>
      <c r="J95" s="384">
        <f t="shared" si="35"/>
        <v>0</v>
      </c>
      <c r="K95" s="107" t="s">
        <v>473</v>
      </c>
      <c r="L95" s="436">
        <f>SUM(L92:L94)</f>
        <v>29160</v>
      </c>
      <c r="M95" s="391">
        <f>SUM(M92:M94)</f>
        <v>31320</v>
      </c>
      <c r="N95" s="391">
        <f t="shared" ref="N95:Q95" si="36">SUM(N92:N94)</f>
        <v>48060</v>
      </c>
      <c r="O95" s="391">
        <f t="shared" si="36"/>
        <v>39291</v>
      </c>
      <c r="P95" s="391">
        <f t="shared" si="36"/>
        <v>12507</v>
      </c>
      <c r="Q95" s="391">
        <f t="shared" si="36"/>
        <v>0</v>
      </c>
      <c r="R95" s="380"/>
      <c r="S95" s="386"/>
      <c r="T95" s="382"/>
      <c r="U95" s="383"/>
      <c r="V95" s="40"/>
      <c r="W95" s="41"/>
      <c r="X95" s="44"/>
      <c r="Y95" s="45"/>
      <c r="Z95" s="43"/>
    </row>
    <row r="96" spans="3:26" ht="21.75" thickBot="1" x14ac:dyDescent="0.25">
      <c r="C96" s="109"/>
      <c r="D96" s="37"/>
      <c r="E96" s="38"/>
      <c r="F96" s="107"/>
      <c r="G96" s="107"/>
      <c r="H96" s="107"/>
      <c r="I96" s="384"/>
      <c r="J96" s="384"/>
      <c r="K96" s="107"/>
      <c r="M96" s="435"/>
      <c r="N96" s="384"/>
      <c r="O96" s="384"/>
      <c r="P96" s="384"/>
      <c r="Q96" s="384"/>
      <c r="R96" s="380"/>
      <c r="S96" s="386"/>
      <c r="T96" s="382"/>
      <c r="U96" s="383"/>
      <c r="V96" s="40"/>
      <c r="W96" s="41"/>
      <c r="X96" s="44"/>
      <c r="Y96" s="45"/>
      <c r="Z96" s="43"/>
    </row>
    <row r="97" spans="3:26" ht="21.75" thickBot="1" x14ac:dyDescent="0.25">
      <c r="C97" s="109"/>
      <c r="D97" s="126" t="s">
        <v>540</v>
      </c>
      <c r="E97" s="38" t="s">
        <v>520</v>
      </c>
      <c r="F97" s="107" t="s">
        <v>521</v>
      </c>
      <c r="G97" s="107" t="s">
        <v>522</v>
      </c>
      <c r="H97" s="107"/>
      <c r="I97" s="384">
        <f t="shared" si="35"/>
        <v>0</v>
      </c>
      <c r="J97" s="384">
        <f>+J87-J103</f>
        <v>164160</v>
      </c>
      <c r="K97" s="384">
        <f t="shared" si="35"/>
        <v>21360</v>
      </c>
      <c r="L97" s="384">
        <f t="shared" si="35"/>
        <v>7800</v>
      </c>
      <c r="M97" s="384">
        <f t="shared" si="35"/>
        <v>15120</v>
      </c>
      <c r="N97" s="56">
        <f t="shared" si="35"/>
        <v>16200</v>
      </c>
      <c r="O97" s="56">
        <f t="shared" si="35"/>
        <v>31860</v>
      </c>
      <c r="P97" s="56">
        <f t="shared" si="35"/>
        <v>7431</v>
      </c>
      <c r="Q97" s="56">
        <f t="shared" si="35"/>
        <v>99771</v>
      </c>
      <c r="R97" s="380">
        <f>IF(I97="","",+Q97-I97)</f>
        <v>99771</v>
      </c>
      <c r="S97" s="386" t="str">
        <f>IF(OR(I97=0,R97=""),"",ROUND(R97/I97,3))</f>
        <v/>
      </c>
      <c r="T97" s="382">
        <f>+Q97-J97</f>
        <v>-64389</v>
      </c>
      <c r="U97" s="383">
        <f>IF(OR(J97=0,T97=0),"",ROUND(T97/J97,2))</f>
        <v>-0.39</v>
      </c>
      <c r="V97" s="40"/>
      <c r="W97" s="52" t="s">
        <v>473</v>
      </c>
      <c r="X97" s="52" t="s">
        <v>473</v>
      </c>
      <c r="Y97" s="52" t="s">
        <v>473</v>
      </c>
      <c r="Z97" s="52" t="s">
        <v>473</v>
      </c>
    </row>
    <row r="98" spans="3:26" ht="21.75" thickBot="1" x14ac:dyDescent="0.25">
      <c r="C98" s="109"/>
      <c r="D98" s="37" t="s">
        <v>541</v>
      </c>
      <c r="E98" s="38" t="s">
        <v>520</v>
      </c>
      <c r="F98" s="107" t="s">
        <v>521</v>
      </c>
      <c r="G98" s="107" t="s">
        <v>530</v>
      </c>
      <c r="H98" s="107"/>
      <c r="I98" s="384">
        <f t="shared" si="35"/>
        <v>0</v>
      </c>
      <c r="J98" s="384">
        <f>+J97</f>
        <v>164160</v>
      </c>
      <c r="K98" s="384">
        <f>+K97</f>
        <v>21360</v>
      </c>
      <c r="L98" s="384">
        <f t="shared" ref="L98:Q98" si="37">+L97</f>
        <v>7800</v>
      </c>
      <c r="M98" s="384">
        <f t="shared" si="37"/>
        <v>15120</v>
      </c>
      <c r="N98" s="384">
        <f t="shared" si="37"/>
        <v>16200</v>
      </c>
      <c r="O98" s="384">
        <f t="shared" si="37"/>
        <v>31860</v>
      </c>
      <c r="P98" s="384">
        <f t="shared" si="37"/>
        <v>7431</v>
      </c>
      <c r="Q98" s="384">
        <f t="shared" si="37"/>
        <v>99771</v>
      </c>
      <c r="R98" s="380">
        <f>IF(I98="","",+Q98-I98)</f>
        <v>99771</v>
      </c>
      <c r="S98" s="386" t="str">
        <f>IF(OR(I98=0,R98=""),"",ROUND(R98/I98,3))</f>
        <v/>
      </c>
      <c r="T98" s="382">
        <f>+Q98-J98</f>
        <v>-64389</v>
      </c>
      <c r="U98" s="383">
        <f>IF(OR(J98=0,T98=0),"",ROUND(T98/J98,2))</f>
        <v>-0.39</v>
      </c>
      <c r="V98" s="40"/>
      <c r="W98" s="52" t="s">
        <v>473</v>
      </c>
      <c r="X98" s="52" t="s">
        <v>473</v>
      </c>
      <c r="Y98" s="52" t="s">
        <v>473</v>
      </c>
      <c r="Z98" s="52" t="s">
        <v>473</v>
      </c>
    </row>
    <row r="99" spans="3:26" ht="21.75" thickBot="1" x14ac:dyDescent="0.25">
      <c r="C99" s="109"/>
      <c r="D99" s="122" t="s">
        <v>549</v>
      </c>
      <c r="E99" s="38"/>
      <c r="F99" s="107"/>
      <c r="G99" s="107"/>
      <c r="H99" s="107"/>
      <c r="I99" s="384"/>
      <c r="J99" s="384"/>
      <c r="K99" s="435"/>
      <c r="L99" s="437"/>
      <c r="M99" s="435"/>
      <c r="N99" s="384"/>
      <c r="O99" s="384"/>
      <c r="P99" s="384"/>
      <c r="Q99" s="384"/>
      <c r="R99" s="380"/>
      <c r="S99" s="386"/>
      <c r="T99" s="382"/>
      <c r="U99" s="383"/>
      <c r="V99" s="40"/>
      <c r="W99" s="41"/>
      <c r="X99" s="44"/>
      <c r="Y99" s="45"/>
      <c r="Z99" s="43"/>
    </row>
    <row r="100" spans="3:26" ht="21.75" thickBot="1" x14ac:dyDescent="0.25">
      <c r="C100" s="109"/>
      <c r="D100" s="37" t="s">
        <v>543</v>
      </c>
      <c r="E100" s="38" t="s">
        <v>520</v>
      </c>
      <c r="F100" s="107" t="s">
        <v>521</v>
      </c>
      <c r="G100" s="107" t="s">
        <v>530</v>
      </c>
      <c r="H100" s="107"/>
      <c r="I100" s="384">
        <f t="shared" si="35"/>
        <v>0</v>
      </c>
      <c r="J100" s="384">
        <f t="shared" si="35"/>
        <v>0</v>
      </c>
      <c r="K100" s="438"/>
      <c r="L100" s="384">
        <f t="shared" ref="L100:Q102" si="38">+L30+L65</f>
        <v>16200</v>
      </c>
      <c r="M100" s="384">
        <f t="shared" si="38"/>
        <v>31860</v>
      </c>
      <c r="N100" s="384">
        <f t="shared" si="38"/>
        <v>7431</v>
      </c>
      <c r="O100" s="384">
        <f t="shared" si="38"/>
        <v>5076</v>
      </c>
      <c r="P100" s="384">
        <f t="shared" si="38"/>
        <v>3153</v>
      </c>
      <c r="Q100" s="384">
        <f t="shared" si="38"/>
        <v>3153</v>
      </c>
      <c r="R100" s="380"/>
      <c r="S100" s="386"/>
      <c r="T100" s="382"/>
      <c r="U100" s="383"/>
      <c r="V100" s="40"/>
      <c r="W100" s="41"/>
      <c r="X100" s="44"/>
      <c r="Y100" s="45"/>
      <c r="Z100" s="43"/>
    </row>
    <row r="101" spans="3:26" ht="21.75" thickBot="1" x14ac:dyDescent="0.25">
      <c r="C101" s="109"/>
      <c r="D101" s="37" t="s">
        <v>536</v>
      </c>
      <c r="E101" s="38" t="s">
        <v>520</v>
      </c>
      <c r="F101" s="107" t="s">
        <v>521</v>
      </c>
      <c r="G101" s="107" t="s">
        <v>530</v>
      </c>
      <c r="H101" s="107"/>
      <c r="I101" s="384">
        <f t="shared" si="35"/>
        <v>0</v>
      </c>
      <c r="J101" s="384">
        <f t="shared" si="35"/>
        <v>0</v>
      </c>
      <c r="K101" s="435"/>
      <c r="L101" s="384">
        <f t="shared" si="38"/>
        <v>15120</v>
      </c>
      <c r="M101" s="384">
        <f t="shared" si="38"/>
        <v>16200</v>
      </c>
      <c r="N101" s="384">
        <f t="shared" si="38"/>
        <v>31860</v>
      </c>
      <c r="O101" s="384">
        <f t="shared" si="38"/>
        <v>7431</v>
      </c>
      <c r="P101" s="384">
        <f t="shared" si="38"/>
        <v>5076</v>
      </c>
      <c r="Q101" s="384">
        <f t="shared" si="38"/>
        <v>5076</v>
      </c>
      <c r="R101" s="380"/>
      <c r="S101" s="386"/>
      <c r="T101" s="382"/>
      <c r="U101" s="383"/>
      <c r="V101" s="40"/>
      <c r="W101" s="41"/>
      <c r="X101" s="44"/>
      <c r="Y101" s="45"/>
      <c r="Z101" s="43"/>
    </row>
    <row r="102" spans="3:26" ht="21.75" thickBot="1" x14ac:dyDescent="0.25">
      <c r="C102" s="109"/>
      <c r="D102" s="37" t="s">
        <v>537</v>
      </c>
      <c r="E102" s="38" t="s">
        <v>520</v>
      </c>
      <c r="F102" s="107" t="s">
        <v>521</v>
      </c>
      <c r="G102" s="107" t="s">
        <v>530</v>
      </c>
      <c r="H102" s="107"/>
      <c r="I102" s="384">
        <f t="shared" si="35"/>
        <v>0</v>
      </c>
      <c r="J102" s="384">
        <f t="shared" si="35"/>
        <v>0</v>
      </c>
      <c r="K102" s="435"/>
      <c r="L102" s="384">
        <f t="shared" si="38"/>
        <v>0</v>
      </c>
      <c r="M102" s="384">
        <f t="shared" si="38"/>
        <v>0</v>
      </c>
      <c r="N102" s="384">
        <f t="shared" si="38"/>
        <v>0</v>
      </c>
      <c r="O102" s="384">
        <f t="shared" si="38"/>
        <v>0</v>
      </c>
      <c r="P102" s="384">
        <f t="shared" si="38"/>
        <v>0</v>
      </c>
      <c r="Q102" s="384">
        <f t="shared" si="38"/>
        <v>0</v>
      </c>
      <c r="R102" s="380"/>
      <c r="S102" s="386"/>
      <c r="T102" s="382"/>
      <c r="U102" s="383"/>
      <c r="V102" s="40"/>
      <c r="W102" s="41"/>
      <c r="X102" s="44"/>
      <c r="Y102" s="45"/>
      <c r="Z102" s="43"/>
    </row>
    <row r="103" spans="3:26" ht="21.75" thickBot="1" x14ac:dyDescent="0.25">
      <c r="C103" s="46"/>
      <c r="D103" s="125" t="s">
        <v>544</v>
      </c>
      <c r="E103" s="38" t="s">
        <v>520</v>
      </c>
      <c r="F103" s="107" t="s">
        <v>521</v>
      </c>
      <c r="G103" s="107" t="s">
        <v>530</v>
      </c>
      <c r="H103" s="107"/>
      <c r="I103" s="384">
        <f t="shared" si="35"/>
        <v>0</v>
      </c>
      <c r="J103" s="384">
        <f t="shared" si="35"/>
        <v>14040</v>
      </c>
      <c r="K103" s="384"/>
      <c r="L103" s="123">
        <f>SUM(L100:L102)</f>
        <v>31320</v>
      </c>
      <c r="M103" s="123">
        <f t="shared" ref="M103:Q103" si="39">SUM(M100:M102)</f>
        <v>48060</v>
      </c>
      <c r="N103" s="123">
        <f t="shared" si="39"/>
        <v>39291</v>
      </c>
      <c r="O103" s="123">
        <f t="shared" si="39"/>
        <v>12507</v>
      </c>
      <c r="P103" s="123">
        <f t="shared" si="39"/>
        <v>8229</v>
      </c>
      <c r="Q103" s="123">
        <f t="shared" si="39"/>
        <v>8229</v>
      </c>
      <c r="R103" s="380">
        <f>IF(I103="","",+Q103-I103)</f>
        <v>8229</v>
      </c>
      <c r="S103" s="386" t="str">
        <f>IF(OR(I103=0,R103=""),"",ROUND(R103/I103,3))</f>
        <v/>
      </c>
      <c r="T103" s="382">
        <f>+Q103-J103</f>
        <v>-5811</v>
      </c>
      <c r="U103" s="383">
        <f>IF(OR(J103="",T103=""),"",ROUND(T103/J103,2))</f>
        <v>-0.41</v>
      </c>
      <c r="V103" s="40"/>
      <c r="W103" s="52" t="s">
        <v>473</v>
      </c>
      <c r="X103" s="52" t="s">
        <v>473</v>
      </c>
      <c r="Y103" s="52" t="s">
        <v>473</v>
      </c>
      <c r="Z103" s="52" t="s">
        <v>473</v>
      </c>
    </row>
    <row r="104" spans="3:26" ht="24" x14ac:dyDescent="0.2">
      <c r="D104" s="439" t="s">
        <v>533</v>
      </c>
      <c r="J104" s="106"/>
      <c r="M104" s="435">
        <f>M95-L103</f>
        <v>0</v>
      </c>
      <c r="N104" s="435">
        <f t="shared" ref="N104:P104" si="40">N95-M103</f>
        <v>0</v>
      </c>
      <c r="O104" s="435">
        <f t="shared" si="40"/>
        <v>0</v>
      </c>
      <c r="P104" s="435">
        <f t="shared" si="40"/>
        <v>0</v>
      </c>
      <c r="Q104" s="435">
        <f>+Q87+Q92-Q97-Q103</f>
        <v>0</v>
      </c>
    </row>
  </sheetData>
  <mergeCells count="72">
    <mergeCell ref="E6:I6"/>
    <mergeCell ref="P6:T6"/>
    <mergeCell ref="V6:W6"/>
    <mergeCell ref="C2:Z2"/>
    <mergeCell ref="E4:I4"/>
    <mergeCell ref="V4:W4"/>
    <mergeCell ref="E5:I5"/>
    <mergeCell ref="V5:W5"/>
    <mergeCell ref="D7:I7"/>
    <mergeCell ref="V7:W7"/>
    <mergeCell ref="C9:C11"/>
    <mergeCell ref="D9:D11"/>
    <mergeCell ref="E9:E11"/>
    <mergeCell ref="F9:F11"/>
    <mergeCell ref="G9:G11"/>
    <mergeCell ref="H9:H11"/>
    <mergeCell ref="I9:I11"/>
    <mergeCell ref="J9:J11"/>
    <mergeCell ref="E41:I41"/>
    <mergeCell ref="P41:T41"/>
    <mergeCell ref="V41:W41"/>
    <mergeCell ref="Q9:Q11"/>
    <mergeCell ref="R9:R11"/>
    <mergeCell ref="S9:S11"/>
    <mergeCell ref="T9:T11"/>
    <mergeCell ref="U9:U11"/>
    <mergeCell ref="V9:Z11"/>
    <mergeCell ref="C37:Z37"/>
    <mergeCell ref="E39:I39"/>
    <mergeCell ref="V39:W39"/>
    <mergeCell ref="E40:I40"/>
    <mergeCell ref="V40:W40"/>
    <mergeCell ref="D42:I42"/>
    <mergeCell ref="V42:W42"/>
    <mergeCell ref="C44:C46"/>
    <mergeCell ref="D44:D46"/>
    <mergeCell ref="E44:E46"/>
    <mergeCell ref="F44:F46"/>
    <mergeCell ref="G44:G46"/>
    <mergeCell ref="H44:H46"/>
    <mergeCell ref="I44:I46"/>
    <mergeCell ref="J44:J46"/>
    <mergeCell ref="E76:I76"/>
    <mergeCell ref="P76:T76"/>
    <mergeCell ref="V76:W76"/>
    <mergeCell ref="Q44:Q46"/>
    <mergeCell ref="R44:R46"/>
    <mergeCell ref="S44:S46"/>
    <mergeCell ref="T44:T46"/>
    <mergeCell ref="U44:U46"/>
    <mergeCell ref="V44:Z46"/>
    <mergeCell ref="C72:Z72"/>
    <mergeCell ref="E74:I74"/>
    <mergeCell ref="V74:W74"/>
    <mergeCell ref="E75:I75"/>
    <mergeCell ref="V75:W75"/>
    <mergeCell ref="V79:Z81"/>
    <mergeCell ref="D77:I77"/>
    <mergeCell ref="V77:W77"/>
    <mergeCell ref="C79:C81"/>
    <mergeCell ref="D79:D81"/>
    <mergeCell ref="E79:E81"/>
    <mergeCell ref="F79:F81"/>
    <mergeCell ref="G79:G81"/>
    <mergeCell ref="H79:H81"/>
    <mergeCell ref="I79:I81"/>
    <mergeCell ref="J79:J81"/>
    <mergeCell ref="Q79:Q81"/>
    <mergeCell ref="R79:R81"/>
    <mergeCell ref="S79:S81"/>
    <mergeCell ref="T79:T81"/>
    <mergeCell ref="U79:U8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107"/>
  <sheetViews>
    <sheetView topLeftCell="L71" workbookViewId="0">
      <selection activeCell="AD78" sqref="AD78"/>
    </sheetView>
  </sheetViews>
  <sheetFormatPr defaultRowHeight="13.5" x14ac:dyDescent="0.15"/>
  <cols>
    <col min="1" max="1" width="2.25" customWidth="1"/>
    <col min="2" max="2" width="2.875" customWidth="1"/>
    <col min="3" max="3" width="3.125" customWidth="1"/>
    <col min="4" max="4" width="30.75" customWidth="1"/>
    <col min="5" max="6" width="4.875" customWidth="1"/>
    <col min="7" max="8" width="3.5" customWidth="1"/>
    <col min="9" max="9" width="9.75" customWidth="1"/>
    <col min="10" max="10" width="10.875" customWidth="1"/>
    <col min="11" max="17" width="12.75" customWidth="1"/>
    <col min="18" max="18" width="10.875" customWidth="1"/>
    <col min="19" max="19" width="11.125" customWidth="1"/>
    <col min="20" max="20" width="11.75" customWidth="1"/>
    <col min="21" max="21" width="14.25" customWidth="1"/>
    <col min="22" max="22" width="11.125" customWidth="1"/>
    <col min="23" max="23" width="12.75" customWidth="1"/>
    <col min="24" max="24" width="9" customWidth="1"/>
    <col min="25" max="25" width="9.875" customWidth="1"/>
    <col min="26" max="26" width="3.75" customWidth="1"/>
    <col min="27" max="27" width="7.125" customWidth="1"/>
    <col min="28" max="28" width="10.5" customWidth="1"/>
    <col min="29" max="29" width="9.5" customWidth="1"/>
    <col min="30" max="30" width="10.25" customWidth="1"/>
    <col min="31" max="31" width="15.5" customWidth="1"/>
  </cols>
  <sheetData>
    <row r="2" spans="3:30" ht="24" x14ac:dyDescent="0.15">
      <c r="C2" s="155" t="s">
        <v>582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3:30" ht="11.45" customHeight="1" thickBot="1" x14ac:dyDescent="0.2"/>
    <row r="4" spans="3:30" ht="18" thickBot="1" x14ac:dyDescent="0.2">
      <c r="D4" s="1" t="s">
        <v>357</v>
      </c>
      <c r="E4" s="367" t="s">
        <v>358</v>
      </c>
      <c r="F4" s="156"/>
      <c r="G4" s="156"/>
      <c r="H4" s="157"/>
      <c r="I4" s="158"/>
      <c r="J4" s="2"/>
      <c r="K4" s="2"/>
      <c r="L4" s="2"/>
      <c r="M4" s="2"/>
      <c r="N4" s="2"/>
      <c r="O4" s="2"/>
      <c r="P4" s="2"/>
      <c r="Q4" s="2"/>
      <c r="R4" s="2"/>
      <c r="Z4" s="315" t="s">
        <v>359</v>
      </c>
      <c r="AA4" s="316"/>
      <c r="AB4" s="67" t="s">
        <v>360</v>
      </c>
      <c r="AC4" s="67" t="s">
        <v>361</v>
      </c>
      <c r="AD4" s="67" t="s">
        <v>362</v>
      </c>
    </row>
    <row r="5" spans="3:30" ht="18" thickBot="1" x14ac:dyDescent="0.2">
      <c r="D5" s="1" t="s">
        <v>363</v>
      </c>
      <c r="E5" s="367" t="s">
        <v>364</v>
      </c>
      <c r="F5" s="156"/>
      <c r="G5" s="156"/>
      <c r="H5" s="157"/>
      <c r="I5" s="158"/>
      <c r="J5" s="2"/>
      <c r="K5" s="2"/>
      <c r="L5" s="2"/>
      <c r="M5" s="2"/>
      <c r="N5" s="2"/>
      <c r="O5" s="2"/>
      <c r="P5" s="2"/>
      <c r="Q5" s="2"/>
      <c r="R5" s="2"/>
      <c r="S5" s="121" t="s">
        <v>365</v>
      </c>
      <c r="U5" t="s">
        <v>366</v>
      </c>
      <c r="Z5" s="153" t="s">
        <v>367</v>
      </c>
      <c r="AA5" s="154"/>
      <c r="AB5" s="3" t="s">
        <v>368</v>
      </c>
      <c r="AC5" s="3" t="s">
        <v>369</v>
      </c>
      <c r="AD5" s="3" t="s">
        <v>357</v>
      </c>
    </row>
    <row r="6" spans="3:30" ht="18" thickBot="1" x14ac:dyDescent="0.25">
      <c r="D6" s="132" t="s">
        <v>458</v>
      </c>
      <c r="E6" s="320" t="s">
        <v>459</v>
      </c>
      <c r="F6" s="320"/>
      <c r="G6" s="320"/>
      <c r="H6" s="320"/>
      <c r="I6" s="320"/>
      <c r="J6" s="2"/>
      <c r="K6" s="2"/>
      <c r="L6" s="2"/>
      <c r="M6" s="2"/>
      <c r="N6" s="2"/>
      <c r="O6" s="2"/>
      <c r="P6" s="2"/>
      <c r="Q6" s="2"/>
      <c r="R6" s="2"/>
      <c r="S6" s="448">
        <v>0.08</v>
      </c>
      <c r="U6" s="369">
        <v>1</v>
      </c>
      <c r="V6" s="433" t="str">
        <f>IF($U6=1,"末締翌月末振込入金",IF($U6=2,"末締翌々月末振込入金",IF($U6=3,"末締翌々々月末振込入金","")))</f>
        <v>末締翌月末振込入金</v>
      </c>
      <c r="W6" s="313"/>
      <c r="X6" s="313"/>
      <c r="Y6" s="313"/>
      <c r="Z6" s="153" t="s">
        <v>370</v>
      </c>
      <c r="AA6" s="154"/>
      <c r="AB6" s="3" t="s">
        <v>371</v>
      </c>
      <c r="AC6" s="3" t="s">
        <v>371</v>
      </c>
      <c r="AD6" s="374" t="str">
        <f>+E4</f>
        <v>田辺雄一</v>
      </c>
    </row>
    <row r="7" spans="3:30" ht="14.25" thickBot="1" x14ac:dyDescent="0.2">
      <c r="D7" s="159" t="s">
        <v>372</v>
      </c>
      <c r="E7" s="160"/>
      <c r="F7" s="160"/>
      <c r="G7" s="160"/>
      <c r="H7" s="160"/>
      <c r="I7" s="161"/>
      <c r="J7" s="2"/>
      <c r="K7" s="2"/>
      <c r="L7" s="2"/>
      <c r="M7" s="2"/>
      <c r="N7" s="2"/>
      <c r="O7" s="2"/>
      <c r="P7" s="2"/>
      <c r="Q7" s="2"/>
      <c r="R7" s="2"/>
      <c r="Z7" s="153" t="s">
        <v>373</v>
      </c>
      <c r="AA7" s="154"/>
      <c r="AB7" s="3" t="s">
        <v>374</v>
      </c>
      <c r="AC7" s="3" t="s">
        <v>374</v>
      </c>
      <c r="AD7" s="3" t="s">
        <v>374</v>
      </c>
    </row>
    <row r="9" spans="3:30" ht="13.15" customHeight="1" x14ac:dyDescent="0.15">
      <c r="C9" s="162" t="s">
        <v>375</v>
      </c>
      <c r="D9" s="165" t="s">
        <v>376</v>
      </c>
      <c r="E9" s="168" t="s">
        <v>377</v>
      </c>
      <c r="F9" s="168" t="s">
        <v>378</v>
      </c>
      <c r="G9" s="162" t="s">
        <v>379</v>
      </c>
      <c r="H9" s="162" t="s">
        <v>380</v>
      </c>
      <c r="I9" s="162" t="s">
        <v>381</v>
      </c>
      <c r="J9" s="162" t="s">
        <v>382</v>
      </c>
      <c r="K9" s="5" t="s">
        <v>38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38</v>
      </c>
      <c r="Q9" s="5" t="s">
        <v>38</v>
      </c>
      <c r="R9" s="5" t="s">
        <v>38</v>
      </c>
      <c r="S9" s="5" t="s">
        <v>38</v>
      </c>
      <c r="T9" s="5" t="s">
        <v>600</v>
      </c>
      <c r="U9" s="5" t="s">
        <v>600</v>
      </c>
      <c r="V9" s="5" t="s">
        <v>600</v>
      </c>
      <c r="W9" s="162" t="s">
        <v>455</v>
      </c>
      <c r="X9" s="162" t="s">
        <v>456</v>
      </c>
      <c r="Y9" s="162" t="s">
        <v>457</v>
      </c>
      <c r="Z9" s="171" t="s">
        <v>570</v>
      </c>
      <c r="AA9" s="172"/>
      <c r="AB9" s="172"/>
      <c r="AC9" s="172"/>
      <c r="AD9" s="173"/>
    </row>
    <row r="10" spans="3:30" x14ac:dyDescent="0.15">
      <c r="C10" s="163"/>
      <c r="D10" s="166"/>
      <c r="E10" s="169"/>
      <c r="F10" s="169"/>
      <c r="G10" s="166"/>
      <c r="H10" s="166"/>
      <c r="I10" s="166"/>
      <c r="J10" s="166"/>
      <c r="K10" s="5" t="s">
        <v>36</v>
      </c>
      <c r="L10" s="5" t="s">
        <v>451</v>
      </c>
      <c r="M10" s="5" t="s">
        <v>41</v>
      </c>
      <c r="N10" s="5" t="s">
        <v>42</v>
      </c>
      <c r="O10" s="5" t="s">
        <v>452</v>
      </c>
      <c r="P10" s="5" t="s">
        <v>453</v>
      </c>
      <c r="Q10" s="5" t="s">
        <v>454</v>
      </c>
      <c r="R10" s="5" t="s">
        <v>383</v>
      </c>
      <c r="S10" s="5" t="s">
        <v>384</v>
      </c>
      <c r="T10" s="5" t="s">
        <v>385</v>
      </c>
      <c r="U10" s="5" t="s">
        <v>386</v>
      </c>
      <c r="V10" s="5" t="s">
        <v>387</v>
      </c>
      <c r="W10" s="163"/>
      <c r="X10" s="163"/>
      <c r="Y10" s="163"/>
      <c r="Z10" s="174"/>
      <c r="AA10" s="175"/>
      <c r="AB10" s="175"/>
      <c r="AC10" s="175"/>
      <c r="AD10" s="176"/>
    </row>
    <row r="11" spans="3:30" x14ac:dyDescent="0.15">
      <c r="C11" s="164"/>
      <c r="D11" s="167"/>
      <c r="E11" s="170"/>
      <c r="F11" s="170"/>
      <c r="G11" s="167"/>
      <c r="H11" s="167"/>
      <c r="I11" s="167"/>
      <c r="J11" s="167"/>
      <c r="K11" s="5" t="s">
        <v>450</v>
      </c>
      <c r="L11" s="5" t="s">
        <v>450</v>
      </c>
      <c r="M11" s="5" t="s">
        <v>450</v>
      </c>
      <c r="N11" s="5" t="s">
        <v>450</v>
      </c>
      <c r="O11" s="5" t="s">
        <v>450</v>
      </c>
      <c r="P11" s="5" t="s">
        <v>450</v>
      </c>
      <c r="Q11" s="5" t="s">
        <v>450</v>
      </c>
      <c r="R11" s="5" t="s">
        <v>450</v>
      </c>
      <c r="S11" s="5" t="s">
        <v>450</v>
      </c>
      <c r="T11" s="5" t="s">
        <v>450</v>
      </c>
      <c r="U11" s="5" t="s">
        <v>450</v>
      </c>
      <c r="V11" s="5" t="s">
        <v>450</v>
      </c>
      <c r="W11" s="164"/>
      <c r="X11" s="164"/>
      <c r="Y11" s="164"/>
      <c r="Z11" s="177"/>
      <c r="AA11" s="178"/>
      <c r="AB11" s="178"/>
      <c r="AC11" s="178"/>
      <c r="AD11" s="179"/>
    </row>
    <row r="12" spans="3:30" ht="27" x14ac:dyDescent="0.15">
      <c r="C12" s="6"/>
      <c r="D12" s="6"/>
      <c r="E12" s="6"/>
      <c r="F12" s="6"/>
      <c r="G12" s="6"/>
      <c r="H12" s="6"/>
      <c r="I12" s="375" t="s">
        <v>388</v>
      </c>
      <c r="J12" s="375" t="s">
        <v>389</v>
      </c>
      <c r="K12" s="375" t="s">
        <v>555</v>
      </c>
      <c r="L12" s="375" t="s">
        <v>556</v>
      </c>
      <c r="M12" s="375" t="s">
        <v>557</v>
      </c>
      <c r="N12" s="375" t="s">
        <v>558</v>
      </c>
      <c r="O12" s="375" t="s">
        <v>559</v>
      </c>
      <c r="P12" s="375" t="s">
        <v>560</v>
      </c>
      <c r="Q12" s="375" t="s">
        <v>561</v>
      </c>
      <c r="R12" s="375" t="s">
        <v>562</v>
      </c>
      <c r="S12" s="375" t="s">
        <v>563</v>
      </c>
      <c r="T12" s="375" t="s">
        <v>564</v>
      </c>
      <c r="U12" s="375" t="s">
        <v>565</v>
      </c>
      <c r="V12" s="375" t="s">
        <v>566</v>
      </c>
      <c r="W12" s="376" t="s">
        <v>567</v>
      </c>
      <c r="X12" s="377" t="s">
        <v>568</v>
      </c>
      <c r="Y12" s="377" t="s">
        <v>569</v>
      </c>
      <c r="Z12" s="378" t="s">
        <v>375</v>
      </c>
      <c r="AA12" s="441" t="s">
        <v>571</v>
      </c>
      <c r="AB12" s="319"/>
      <c r="AC12" s="441" t="s">
        <v>572</v>
      </c>
      <c r="AD12" s="319"/>
    </row>
    <row r="13" spans="3:30" ht="1.9" customHeight="1" thickBot="1" x14ac:dyDescent="0.2"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9">
        <f>SUM(K14:V14)</f>
        <v>77400</v>
      </c>
      <c r="X13" s="6"/>
      <c r="Y13" s="6"/>
      <c r="Z13" s="6"/>
      <c r="AA13" s="6"/>
      <c r="AB13" s="6"/>
      <c r="AC13" s="6"/>
      <c r="AD13" s="6"/>
    </row>
    <row r="14" spans="3:30" ht="22.9" customHeight="1" thickBot="1" x14ac:dyDescent="0.25">
      <c r="C14" s="88" t="s">
        <v>390</v>
      </c>
      <c r="D14" s="50" t="s">
        <v>391</v>
      </c>
      <c r="E14" s="38" t="s">
        <v>392</v>
      </c>
      <c r="F14" s="89" t="s">
        <v>393</v>
      </c>
      <c r="G14" s="89" t="s">
        <v>394</v>
      </c>
      <c r="H14" s="90" t="s">
        <v>395</v>
      </c>
      <c r="I14" s="384">
        <f>'[1]1実績予想売上関係'!I17</f>
        <v>0</v>
      </c>
      <c r="J14" s="131">
        <f>①当期実績予想売上高!O17</f>
        <v>70000</v>
      </c>
      <c r="K14" s="368">
        <v>2700</v>
      </c>
      <c r="L14" s="368">
        <v>3600</v>
      </c>
      <c r="M14" s="368">
        <v>4500</v>
      </c>
      <c r="N14" s="368">
        <v>6300</v>
      </c>
      <c r="O14" s="368">
        <v>7200</v>
      </c>
      <c r="P14" s="368">
        <v>7200</v>
      </c>
      <c r="Q14" s="368">
        <v>7200</v>
      </c>
      <c r="R14" s="368">
        <v>7200</v>
      </c>
      <c r="S14" s="368">
        <v>9000</v>
      </c>
      <c r="T14" s="368">
        <v>9000</v>
      </c>
      <c r="U14" s="368">
        <v>4500</v>
      </c>
      <c r="V14" s="368">
        <v>9000</v>
      </c>
      <c r="W14" s="379">
        <f>SUM(K14:V14)</f>
        <v>77400</v>
      </c>
      <c r="X14" s="143">
        <f>IF(J14="","",+W14-J14)</f>
        <v>7400</v>
      </c>
      <c r="Y14" s="144">
        <f>IF(OR(J14=0,X14=""),"",ROUND(X14/J14,3))</f>
        <v>0.106</v>
      </c>
      <c r="Z14" s="48"/>
      <c r="AA14" s="317" t="s">
        <v>371</v>
      </c>
      <c r="AB14" s="318"/>
      <c r="AC14" s="317" t="s">
        <v>9</v>
      </c>
      <c r="AD14" s="318"/>
    </row>
    <row r="15" spans="3:30" ht="24.6" customHeight="1" thickBot="1" x14ac:dyDescent="0.25">
      <c r="C15" s="88" t="s">
        <v>396</v>
      </c>
      <c r="D15" s="37" t="s">
        <v>397</v>
      </c>
      <c r="E15" s="38" t="s">
        <v>392</v>
      </c>
      <c r="F15" s="89" t="s">
        <v>393</v>
      </c>
      <c r="G15" s="89" t="s">
        <v>394</v>
      </c>
      <c r="H15" s="89"/>
      <c r="I15" s="384">
        <f>IF($H$14="〇",ROUND(I14*$S$6,),0)</f>
        <v>0</v>
      </c>
      <c r="J15" s="384">
        <f>IF($H$14="〇",ROUND(J14*$S$6,),0)</f>
        <v>5600</v>
      </c>
      <c r="K15" s="384">
        <f>IF($H$14="〇",ROUND(K14*$S$6,),0)</f>
        <v>216</v>
      </c>
      <c r="L15" s="384">
        <f>IF($H$14="〇",ROUND(L14*$S$6,),0)</f>
        <v>288</v>
      </c>
      <c r="M15" s="384">
        <f>IF($H$14="〇",ROUND(M14*$S$6,),0)</f>
        <v>360</v>
      </c>
      <c r="N15" s="384">
        <f t="shared" ref="N15:V15" si="0">IF($H$14="〇",ROUND(N14*$S$6,),0)</f>
        <v>504</v>
      </c>
      <c r="O15" s="384">
        <f t="shared" si="0"/>
        <v>576</v>
      </c>
      <c r="P15" s="384">
        <f t="shared" si="0"/>
        <v>576</v>
      </c>
      <c r="Q15" s="384">
        <f t="shared" si="0"/>
        <v>576</v>
      </c>
      <c r="R15" s="384">
        <f t="shared" si="0"/>
        <v>576</v>
      </c>
      <c r="S15" s="384">
        <f t="shared" si="0"/>
        <v>720</v>
      </c>
      <c r="T15" s="384">
        <f t="shared" si="0"/>
        <v>720</v>
      </c>
      <c r="U15" s="384">
        <f t="shared" si="0"/>
        <v>360</v>
      </c>
      <c r="V15" s="384">
        <f t="shared" si="0"/>
        <v>720</v>
      </c>
      <c r="W15" s="379">
        <f>SUM(K15:V15)</f>
        <v>6192</v>
      </c>
      <c r="X15" s="141">
        <f>IF(J15="","",+W15-J15)</f>
        <v>592</v>
      </c>
      <c r="Y15" s="142">
        <f>IF(OR(J15=0,X15=""),"",ROUND(X15/J15,3))</f>
        <v>0.106</v>
      </c>
      <c r="Z15" s="40"/>
      <c r="AA15" s="317" t="s">
        <v>9</v>
      </c>
      <c r="AB15" s="318"/>
      <c r="AC15" s="317" t="s">
        <v>9</v>
      </c>
      <c r="AD15" s="318"/>
    </row>
    <row r="16" spans="3:30" ht="24.6" customHeight="1" thickBot="1" x14ac:dyDescent="0.25">
      <c r="C16" s="88" t="s">
        <v>398</v>
      </c>
      <c r="D16" s="37" t="s">
        <v>399</v>
      </c>
      <c r="E16" s="38" t="s">
        <v>392</v>
      </c>
      <c r="F16" s="89" t="s">
        <v>393</v>
      </c>
      <c r="G16" s="89" t="s">
        <v>394</v>
      </c>
      <c r="H16" s="89"/>
      <c r="I16" s="384">
        <f>SUM(I14:I15)</f>
        <v>0</v>
      </c>
      <c r="J16" s="384">
        <f t="shared" ref="J16:W16" si="1">SUM(J14:J15)</f>
        <v>75600</v>
      </c>
      <c r="K16" s="384">
        <f t="shared" si="1"/>
        <v>2916</v>
      </c>
      <c r="L16" s="384">
        <f t="shared" ref="L16:M16" si="2">SUM(L14:L15)</f>
        <v>3888</v>
      </c>
      <c r="M16" s="384">
        <f t="shared" si="2"/>
        <v>4860</v>
      </c>
      <c r="N16" s="384">
        <f t="shared" ref="N16:V16" si="3">SUM(N14:N15)</f>
        <v>6804</v>
      </c>
      <c r="O16" s="384">
        <f t="shared" si="3"/>
        <v>7776</v>
      </c>
      <c r="P16" s="384">
        <f t="shared" si="3"/>
        <v>7776</v>
      </c>
      <c r="Q16" s="384">
        <f t="shared" si="3"/>
        <v>7776</v>
      </c>
      <c r="R16" s="384">
        <f t="shared" si="3"/>
        <v>7776</v>
      </c>
      <c r="S16" s="384">
        <f t="shared" si="3"/>
        <v>9720</v>
      </c>
      <c r="T16" s="384">
        <f t="shared" si="3"/>
        <v>9720</v>
      </c>
      <c r="U16" s="384">
        <f t="shared" si="3"/>
        <v>4860</v>
      </c>
      <c r="V16" s="384">
        <f t="shared" si="3"/>
        <v>9720</v>
      </c>
      <c r="W16" s="384">
        <f t="shared" si="1"/>
        <v>83592</v>
      </c>
      <c r="X16" s="380"/>
      <c r="Y16" s="386"/>
      <c r="Z16" s="40"/>
      <c r="AA16" s="317"/>
      <c r="AB16" s="318"/>
      <c r="AC16" s="317"/>
      <c r="AD16" s="318"/>
    </row>
    <row r="17" spans="3:37" ht="24.6" customHeight="1" thickBot="1" x14ac:dyDescent="0.25">
      <c r="C17" s="88" t="s">
        <v>400</v>
      </c>
      <c r="D17" s="122" t="s">
        <v>401</v>
      </c>
      <c r="E17" s="38" t="s">
        <v>392</v>
      </c>
      <c r="F17" s="89" t="s">
        <v>393</v>
      </c>
      <c r="G17" s="89" t="s">
        <v>402</v>
      </c>
      <c r="H17" s="89"/>
      <c r="I17" s="384">
        <f>+I16</f>
        <v>0</v>
      </c>
      <c r="J17" s="384">
        <f t="shared" ref="J17:W18" si="4">+J16</f>
        <v>75600</v>
      </c>
      <c r="K17" s="390">
        <f t="shared" si="4"/>
        <v>2916</v>
      </c>
      <c r="L17" s="384">
        <f t="shared" ref="L17:M17" si="5">+L16</f>
        <v>3888</v>
      </c>
      <c r="M17" s="384">
        <f t="shared" si="5"/>
        <v>4860</v>
      </c>
      <c r="N17" s="384">
        <f t="shared" ref="N17:V17" si="6">+N16</f>
        <v>6804</v>
      </c>
      <c r="O17" s="384">
        <f t="shared" si="6"/>
        <v>7776</v>
      </c>
      <c r="P17" s="384">
        <f t="shared" si="6"/>
        <v>7776</v>
      </c>
      <c r="Q17" s="384">
        <f t="shared" si="6"/>
        <v>7776</v>
      </c>
      <c r="R17" s="384">
        <f t="shared" si="6"/>
        <v>7776</v>
      </c>
      <c r="S17" s="384">
        <f t="shared" si="6"/>
        <v>9720</v>
      </c>
      <c r="T17" s="384">
        <f t="shared" si="6"/>
        <v>9720</v>
      </c>
      <c r="U17" s="384">
        <f t="shared" si="6"/>
        <v>4860</v>
      </c>
      <c r="V17" s="384">
        <f t="shared" si="6"/>
        <v>9720</v>
      </c>
      <c r="W17" s="56">
        <f>SUM(K17:V17)</f>
        <v>83592</v>
      </c>
      <c r="X17" s="141">
        <f>IF(J17="","",+W17-J17)</f>
        <v>7992</v>
      </c>
      <c r="Y17" s="142">
        <f>IF(OR(J17=0,X17=""),"",ROUND(X17/J17,3))</f>
        <v>0.106</v>
      </c>
      <c r="Z17" s="40"/>
      <c r="AA17" s="317" t="s">
        <v>9</v>
      </c>
      <c r="AB17" s="318"/>
      <c r="AC17" s="317" t="s">
        <v>9</v>
      </c>
      <c r="AD17" s="318"/>
    </row>
    <row r="18" spans="3:37" ht="24.6" customHeight="1" thickBot="1" x14ac:dyDescent="0.25">
      <c r="C18" s="88" t="s">
        <v>403</v>
      </c>
      <c r="D18" s="37" t="s">
        <v>404</v>
      </c>
      <c r="E18" s="38" t="s">
        <v>392</v>
      </c>
      <c r="F18" s="89" t="s">
        <v>393</v>
      </c>
      <c r="G18" s="89" t="s">
        <v>402</v>
      </c>
      <c r="H18" s="89"/>
      <c r="I18" s="384">
        <f>+I17</f>
        <v>0</v>
      </c>
      <c r="J18" s="384">
        <f t="shared" si="4"/>
        <v>75600</v>
      </c>
      <c r="K18" s="384">
        <f t="shared" si="4"/>
        <v>2916</v>
      </c>
      <c r="L18" s="384">
        <f t="shared" ref="L18:M18" si="7">+L17</f>
        <v>3888</v>
      </c>
      <c r="M18" s="384">
        <f t="shared" si="7"/>
        <v>4860</v>
      </c>
      <c r="N18" s="384">
        <f t="shared" ref="N18:V18" si="8">+N17</f>
        <v>6804</v>
      </c>
      <c r="O18" s="384">
        <f t="shared" si="8"/>
        <v>7776</v>
      </c>
      <c r="P18" s="384">
        <f t="shared" si="8"/>
        <v>7776</v>
      </c>
      <c r="Q18" s="384">
        <f t="shared" si="8"/>
        <v>7776</v>
      </c>
      <c r="R18" s="384">
        <f t="shared" si="8"/>
        <v>7776</v>
      </c>
      <c r="S18" s="384">
        <f t="shared" si="8"/>
        <v>9720</v>
      </c>
      <c r="T18" s="384">
        <f t="shared" si="8"/>
        <v>9720</v>
      </c>
      <c r="U18" s="384">
        <f t="shared" si="8"/>
        <v>4860</v>
      </c>
      <c r="V18" s="384">
        <f t="shared" si="8"/>
        <v>9720</v>
      </c>
      <c r="W18" s="384">
        <f t="shared" si="4"/>
        <v>83592</v>
      </c>
      <c r="X18" s="380"/>
      <c r="Y18" s="386"/>
      <c r="Z18" s="40"/>
      <c r="AA18" s="317"/>
      <c r="AB18" s="318"/>
      <c r="AC18" s="317"/>
      <c r="AD18" s="318"/>
    </row>
    <row r="19" spans="3:37" ht="24.6" customHeight="1" thickBot="1" x14ac:dyDescent="0.25">
      <c r="C19" s="88"/>
      <c r="D19" s="37" t="s">
        <v>405</v>
      </c>
      <c r="E19" s="38" t="s">
        <v>406</v>
      </c>
      <c r="F19" s="89" t="s">
        <v>407</v>
      </c>
      <c r="G19" s="89"/>
      <c r="H19" s="89"/>
      <c r="I19" s="384">
        <f>+I16-I16</f>
        <v>0</v>
      </c>
      <c r="J19" s="384">
        <f t="shared" ref="J19:W19" si="9">+J16-J16</f>
        <v>0</v>
      </c>
      <c r="K19" s="384">
        <f t="shared" si="9"/>
        <v>0</v>
      </c>
      <c r="L19" s="384">
        <f t="shared" ref="L19:M19" si="10">+L16-L16</f>
        <v>0</v>
      </c>
      <c r="M19" s="384">
        <f t="shared" si="10"/>
        <v>0</v>
      </c>
      <c r="N19" s="384">
        <f t="shared" ref="N19:V19" si="11">+N16-N16</f>
        <v>0</v>
      </c>
      <c r="O19" s="384">
        <f t="shared" si="11"/>
        <v>0</v>
      </c>
      <c r="P19" s="384">
        <f t="shared" si="11"/>
        <v>0</v>
      </c>
      <c r="Q19" s="384">
        <f t="shared" si="11"/>
        <v>0</v>
      </c>
      <c r="R19" s="384">
        <f t="shared" si="11"/>
        <v>0</v>
      </c>
      <c r="S19" s="384">
        <f t="shared" si="11"/>
        <v>0</v>
      </c>
      <c r="T19" s="384">
        <f t="shared" si="11"/>
        <v>0</v>
      </c>
      <c r="U19" s="384">
        <f t="shared" si="11"/>
        <v>0</v>
      </c>
      <c r="V19" s="384">
        <f t="shared" si="11"/>
        <v>0</v>
      </c>
      <c r="W19" s="384">
        <f t="shared" si="9"/>
        <v>0</v>
      </c>
      <c r="X19" s="380"/>
      <c r="Y19" s="386"/>
      <c r="Z19" s="40"/>
      <c r="AA19" s="317"/>
      <c r="AB19" s="318"/>
      <c r="AC19" s="317"/>
      <c r="AD19" s="318"/>
    </row>
    <row r="20" spans="3:37" ht="24.6" customHeight="1" thickBot="1" x14ac:dyDescent="0.25">
      <c r="C20" s="88"/>
      <c r="D20" s="37" t="s">
        <v>408</v>
      </c>
      <c r="E20" s="38"/>
      <c r="F20" s="89"/>
      <c r="G20" s="89"/>
      <c r="H20" s="89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0"/>
      <c r="Y20" s="386"/>
      <c r="Z20" s="40"/>
      <c r="AA20" s="317"/>
      <c r="AB20" s="318"/>
      <c r="AC20" s="317"/>
      <c r="AD20" s="318"/>
    </row>
    <row r="21" spans="3:37" ht="24.6" customHeight="1" thickBot="1" x14ac:dyDescent="0.25">
      <c r="C21" s="88"/>
      <c r="D21" s="122" t="s">
        <v>409</v>
      </c>
      <c r="E21" s="38"/>
      <c r="F21" s="89"/>
      <c r="G21" s="89"/>
      <c r="H21" s="89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5"/>
      <c r="Y21" s="136"/>
      <c r="Z21" s="137"/>
      <c r="AA21" s="317"/>
      <c r="AB21" s="318"/>
      <c r="AC21" s="317"/>
      <c r="AD21" s="318"/>
      <c r="AE21" s="138"/>
      <c r="AF21" s="138"/>
      <c r="AG21" s="138"/>
      <c r="AH21" s="138"/>
      <c r="AI21" s="138"/>
      <c r="AJ21" s="138"/>
      <c r="AK21" s="138"/>
    </row>
    <row r="22" spans="3:37" ht="24.6" customHeight="1" thickBot="1" x14ac:dyDescent="0.25">
      <c r="C22" s="88"/>
      <c r="D22" s="37" t="s">
        <v>410</v>
      </c>
      <c r="E22" s="38" t="s">
        <v>406</v>
      </c>
      <c r="F22" s="89" t="s">
        <v>407</v>
      </c>
      <c r="G22" s="89" t="s">
        <v>411</v>
      </c>
      <c r="H22" s="89"/>
      <c r="I22" s="384"/>
      <c r="J22" s="390"/>
      <c r="K22" s="133">
        <f>+J30</f>
        <v>2073</v>
      </c>
      <c r="L22" s="133">
        <f>+K30</f>
        <v>2916</v>
      </c>
      <c r="M22" s="140">
        <f>+L30</f>
        <v>3888</v>
      </c>
      <c r="N22" s="133">
        <f>+M30</f>
        <v>4860</v>
      </c>
      <c r="O22" s="133">
        <f>+N30</f>
        <v>6804</v>
      </c>
      <c r="P22" s="133">
        <f t="shared" ref="P22:V22" si="12">+O30</f>
        <v>7776</v>
      </c>
      <c r="Q22" s="133">
        <f t="shared" si="12"/>
        <v>7776</v>
      </c>
      <c r="R22" s="133">
        <f t="shared" si="12"/>
        <v>7776</v>
      </c>
      <c r="S22" s="133">
        <f t="shared" si="12"/>
        <v>7776</v>
      </c>
      <c r="T22" s="133">
        <f t="shared" si="12"/>
        <v>9720</v>
      </c>
      <c r="U22" s="133">
        <f t="shared" si="12"/>
        <v>9720</v>
      </c>
      <c r="V22" s="133">
        <f t="shared" si="12"/>
        <v>4860</v>
      </c>
      <c r="W22" s="131">
        <f>+K22</f>
        <v>2073</v>
      </c>
      <c r="X22" s="380"/>
      <c r="Y22" s="386"/>
      <c r="Z22" s="40"/>
      <c r="AA22" s="317"/>
      <c r="AB22" s="318"/>
      <c r="AC22" s="317"/>
      <c r="AD22" s="318"/>
    </row>
    <row r="23" spans="3:37" ht="24.6" customHeight="1" thickBot="1" x14ac:dyDescent="0.25">
      <c r="C23" s="88"/>
      <c r="D23" s="37" t="s">
        <v>413</v>
      </c>
      <c r="E23" s="38" t="s">
        <v>406</v>
      </c>
      <c r="F23" s="89" t="s">
        <v>407</v>
      </c>
      <c r="G23" s="89" t="s">
        <v>411</v>
      </c>
      <c r="H23" s="89"/>
      <c r="I23" s="384"/>
      <c r="J23" s="390"/>
      <c r="K23" s="133">
        <f t="shared" ref="K23:L24" si="13">+J31</f>
        <v>3996</v>
      </c>
      <c r="L23" s="133">
        <f t="shared" si="13"/>
        <v>2073</v>
      </c>
      <c r="M23" s="140">
        <f t="shared" ref="M23:N23" si="14">+L31</f>
        <v>0</v>
      </c>
      <c r="N23" s="133">
        <f t="shared" si="14"/>
        <v>0</v>
      </c>
      <c r="O23" s="133">
        <f t="shared" ref="O23:V23" si="15">+N31</f>
        <v>0</v>
      </c>
      <c r="P23" s="133">
        <f t="shared" si="15"/>
        <v>0</v>
      </c>
      <c r="Q23" s="133">
        <f t="shared" si="15"/>
        <v>0</v>
      </c>
      <c r="R23" s="133">
        <f t="shared" si="15"/>
        <v>0</v>
      </c>
      <c r="S23" s="133">
        <f t="shared" si="15"/>
        <v>0</v>
      </c>
      <c r="T23" s="133">
        <f t="shared" si="15"/>
        <v>0</v>
      </c>
      <c r="U23" s="133">
        <f t="shared" si="15"/>
        <v>0</v>
      </c>
      <c r="V23" s="133">
        <f t="shared" si="15"/>
        <v>0</v>
      </c>
      <c r="W23" s="131">
        <f>+K23</f>
        <v>3996</v>
      </c>
      <c r="X23" s="380"/>
      <c r="Y23" s="386"/>
      <c r="Z23" s="40"/>
      <c r="AA23" s="317"/>
      <c r="AB23" s="318"/>
      <c r="AC23" s="317"/>
      <c r="AD23" s="318"/>
    </row>
    <row r="24" spans="3:37" ht="24.6" customHeight="1" thickBot="1" x14ac:dyDescent="0.25">
      <c r="C24" s="88"/>
      <c r="D24" s="37" t="s">
        <v>414</v>
      </c>
      <c r="E24" s="38" t="s">
        <v>406</v>
      </c>
      <c r="F24" s="89" t="s">
        <v>407</v>
      </c>
      <c r="G24" s="89" t="s">
        <v>411</v>
      </c>
      <c r="H24" s="89"/>
      <c r="I24" s="384"/>
      <c r="J24" s="390"/>
      <c r="K24" s="133">
        <f t="shared" si="13"/>
        <v>0</v>
      </c>
      <c r="L24" s="133">
        <f t="shared" si="13"/>
        <v>0</v>
      </c>
      <c r="M24" s="140">
        <f t="shared" ref="M24:N24" si="16">+L32</f>
        <v>0</v>
      </c>
      <c r="N24" s="133">
        <f t="shared" si="16"/>
        <v>0</v>
      </c>
      <c r="O24" s="133">
        <f t="shared" ref="O24:V24" si="17">+N32</f>
        <v>0</v>
      </c>
      <c r="P24" s="133">
        <f t="shared" si="17"/>
        <v>0</v>
      </c>
      <c r="Q24" s="133">
        <f t="shared" si="17"/>
        <v>0</v>
      </c>
      <c r="R24" s="133">
        <f t="shared" si="17"/>
        <v>0</v>
      </c>
      <c r="S24" s="133">
        <f t="shared" si="17"/>
        <v>0</v>
      </c>
      <c r="T24" s="133">
        <f t="shared" si="17"/>
        <v>0</v>
      </c>
      <c r="U24" s="133">
        <f t="shared" si="17"/>
        <v>0</v>
      </c>
      <c r="V24" s="133">
        <f t="shared" si="17"/>
        <v>0</v>
      </c>
      <c r="W24" s="131">
        <f>+K24</f>
        <v>0</v>
      </c>
      <c r="X24" s="380"/>
      <c r="Y24" s="386"/>
      <c r="Z24" s="40"/>
      <c r="AA24" s="317"/>
      <c r="AB24" s="318"/>
      <c r="AC24" s="317"/>
      <c r="AD24" s="318"/>
    </row>
    <row r="25" spans="3:37" ht="24.6" customHeight="1" thickBot="1" x14ac:dyDescent="0.25">
      <c r="C25" s="88"/>
      <c r="D25" s="127" t="s">
        <v>415</v>
      </c>
      <c r="E25" s="38" t="s">
        <v>406</v>
      </c>
      <c r="F25" s="89" t="s">
        <v>407</v>
      </c>
      <c r="G25" s="89" t="s">
        <v>411</v>
      </c>
      <c r="H25" s="89"/>
      <c r="I25" s="436">
        <f t="shared" ref="I25" si="18">SUM(I22:I24)</f>
        <v>0</v>
      </c>
      <c r="J25" s="436">
        <f t="shared" ref="J25:L25" si="19">SUM(J22:J24)</f>
        <v>0</v>
      </c>
      <c r="K25" s="436">
        <f t="shared" si="19"/>
        <v>6069</v>
      </c>
      <c r="L25" s="436">
        <f t="shared" si="19"/>
        <v>4989</v>
      </c>
      <c r="M25" s="442">
        <f t="shared" ref="M25:N25" si="20">SUM(M22:M24)</f>
        <v>3888</v>
      </c>
      <c r="N25" s="384">
        <f t="shared" si="20"/>
        <v>4860</v>
      </c>
      <c r="O25" s="384">
        <f t="shared" ref="O25:V25" si="21">SUM(O22:O24)</f>
        <v>6804</v>
      </c>
      <c r="P25" s="384">
        <f t="shared" si="21"/>
        <v>7776</v>
      </c>
      <c r="Q25" s="384">
        <f t="shared" si="21"/>
        <v>7776</v>
      </c>
      <c r="R25" s="384">
        <f t="shared" si="21"/>
        <v>7776</v>
      </c>
      <c r="S25" s="384">
        <f t="shared" si="21"/>
        <v>7776</v>
      </c>
      <c r="T25" s="384">
        <f t="shared" si="21"/>
        <v>9720</v>
      </c>
      <c r="U25" s="384">
        <f t="shared" si="21"/>
        <v>9720</v>
      </c>
      <c r="V25" s="384">
        <f t="shared" si="21"/>
        <v>4860</v>
      </c>
      <c r="W25" s="123">
        <f t="shared" ref="W25" si="22">SUM(W22:W24)</f>
        <v>6069</v>
      </c>
      <c r="X25" s="141">
        <f>IF(J25="","",+W25-J25)</f>
        <v>6069</v>
      </c>
      <c r="Y25" s="142" t="str">
        <f>IF(OR(J25=0,X25=""),"",ROUND(X25/J25,3))</f>
        <v/>
      </c>
      <c r="Z25" s="40"/>
      <c r="AA25" s="317" t="s">
        <v>9</v>
      </c>
      <c r="AB25" s="318"/>
      <c r="AC25" s="317" t="s">
        <v>9</v>
      </c>
      <c r="AD25" s="318"/>
    </row>
    <row r="26" spans="3:37" ht="24.6" customHeight="1" thickBot="1" x14ac:dyDescent="0.25">
      <c r="C26" s="88"/>
      <c r="D26" s="128"/>
      <c r="E26" s="38"/>
      <c r="F26" s="89"/>
      <c r="G26" s="89"/>
      <c r="H26" s="89"/>
      <c r="I26" s="384"/>
      <c r="J26" s="384"/>
      <c r="K26" s="89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384"/>
      <c r="X26" s="380"/>
      <c r="Y26" s="386"/>
      <c r="Z26" s="40"/>
      <c r="AA26" s="317"/>
      <c r="AB26" s="318"/>
      <c r="AC26" s="317"/>
      <c r="AD26" s="318"/>
    </row>
    <row r="27" spans="3:37" ht="24.6" customHeight="1" thickBot="1" x14ac:dyDescent="0.25">
      <c r="C27" s="88"/>
      <c r="D27" s="129" t="s">
        <v>416</v>
      </c>
      <c r="E27" s="38" t="s">
        <v>406</v>
      </c>
      <c r="F27" s="89" t="s">
        <v>407</v>
      </c>
      <c r="G27" s="89" t="s">
        <v>417</v>
      </c>
      <c r="H27" s="89"/>
      <c r="I27" s="384"/>
      <c r="J27" s="131">
        <f>⑦当期実績予想売上代金回収関係!Q27</f>
        <v>69531</v>
      </c>
      <c r="K27" s="368">
        <v>3996</v>
      </c>
      <c r="L27" s="368">
        <v>4989</v>
      </c>
      <c r="M27" s="131">
        <f>+M25</f>
        <v>3888</v>
      </c>
      <c r="N27" s="131">
        <f>+N25</f>
        <v>4860</v>
      </c>
      <c r="O27" s="131">
        <f>+O25</f>
        <v>6804</v>
      </c>
      <c r="P27" s="131">
        <f t="shared" ref="P27:V27" si="23">+P25</f>
        <v>7776</v>
      </c>
      <c r="Q27" s="131">
        <f t="shared" si="23"/>
        <v>7776</v>
      </c>
      <c r="R27" s="131">
        <f t="shared" si="23"/>
        <v>7776</v>
      </c>
      <c r="S27" s="131">
        <f t="shared" si="23"/>
        <v>7776</v>
      </c>
      <c r="T27" s="131">
        <f t="shared" si="23"/>
        <v>9720</v>
      </c>
      <c r="U27" s="131">
        <f t="shared" si="23"/>
        <v>9720</v>
      </c>
      <c r="V27" s="131">
        <f t="shared" si="23"/>
        <v>4860</v>
      </c>
      <c r="W27" s="56">
        <f>SUM(K27:V27)</f>
        <v>79941</v>
      </c>
      <c r="X27" s="141">
        <f>IF(J27="","",+W27-J27)</f>
        <v>10410</v>
      </c>
      <c r="Y27" s="142">
        <f>IF(OR(J27=0,X27=""),"",ROUND(X27/J27,3))</f>
        <v>0.15</v>
      </c>
      <c r="Z27" s="40"/>
      <c r="AA27" s="317" t="s">
        <v>9</v>
      </c>
      <c r="AB27" s="318"/>
      <c r="AC27" s="317" t="s">
        <v>9</v>
      </c>
      <c r="AD27" s="318"/>
    </row>
    <row r="28" spans="3:37" ht="24.6" customHeight="1" thickBot="1" x14ac:dyDescent="0.25">
      <c r="C28" s="88"/>
      <c r="D28" s="128" t="s">
        <v>418</v>
      </c>
      <c r="E28" s="38" t="s">
        <v>406</v>
      </c>
      <c r="F28" s="89" t="s">
        <v>407</v>
      </c>
      <c r="G28" s="89" t="s">
        <v>411</v>
      </c>
      <c r="H28" s="89"/>
      <c r="I28" s="384"/>
      <c r="J28" s="384">
        <f t="shared" ref="J28:O28" si="24">+J27</f>
        <v>69531</v>
      </c>
      <c r="K28" s="384">
        <f t="shared" si="24"/>
        <v>3996</v>
      </c>
      <c r="L28" s="384">
        <f t="shared" si="24"/>
        <v>4989</v>
      </c>
      <c r="M28" s="384">
        <f t="shared" si="24"/>
        <v>3888</v>
      </c>
      <c r="N28" s="384">
        <f t="shared" si="24"/>
        <v>4860</v>
      </c>
      <c r="O28" s="384">
        <f t="shared" si="24"/>
        <v>6804</v>
      </c>
      <c r="P28" s="384">
        <f t="shared" ref="P28:V28" si="25">+P27</f>
        <v>7776</v>
      </c>
      <c r="Q28" s="384">
        <f t="shared" si="25"/>
        <v>7776</v>
      </c>
      <c r="R28" s="384">
        <f t="shared" si="25"/>
        <v>7776</v>
      </c>
      <c r="S28" s="384">
        <f t="shared" si="25"/>
        <v>7776</v>
      </c>
      <c r="T28" s="384">
        <f t="shared" si="25"/>
        <v>9720</v>
      </c>
      <c r="U28" s="384">
        <f t="shared" si="25"/>
        <v>9720</v>
      </c>
      <c r="V28" s="384">
        <f t="shared" si="25"/>
        <v>4860</v>
      </c>
      <c r="W28" s="384">
        <f t="shared" ref="W28" si="26">+W27</f>
        <v>79941</v>
      </c>
      <c r="X28" s="380" t="str">
        <f>IF(I28="","",+W28-I28)</f>
        <v/>
      </c>
      <c r="Y28" s="386" t="str">
        <f>IF(OR(I28=0,X28=""),"",ROUND(X28/I28,3))</f>
        <v/>
      </c>
      <c r="Z28" s="40"/>
      <c r="AA28" s="317" t="s">
        <v>9</v>
      </c>
      <c r="AB28" s="318"/>
      <c r="AC28" s="317" t="s">
        <v>9</v>
      </c>
      <c r="AD28" s="318"/>
    </row>
    <row r="29" spans="3:37" ht="24.6" customHeight="1" thickBot="1" x14ac:dyDescent="0.2">
      <c r="C29" s="88"/>
      <c r="D29" s="127" t="s">
        <v>419</v>
      </c>
      <c r="E29" s="38"/>
      <c r="F29" s="89"/>
      <c r="G29" s="89"/>
      <c r="H29" s="89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317"/>
      <c r="AB29" s="318"/>
      <c r="AC29" s="317"/>
      <c r="AD29" s="318"/>
    </row>
    <row r="30" spans="3:37" ht="24.6" customHeight="1" thickBot="1" x14ac:dyDescent="0.25">
      <c r="C30" s="88"/>
      <c r="D30" s="128" t="s">
        <v>420</v>
      </c>
      <c r="E30" s="38" t="s">
        <v>406</v>
      </c>
      <c r="F30" s="89" t="s">
        <v>407</v>
      </c>
      <c r="G30" s="89" t="s">
        <v>411</v>
      </c>
      <c r="H30" s="89"/>
      <c r="I30" s="384"/>
      <c r="J30" s="131">
        <f>⑦当期実績予想売上代金回収関係!Q30</f>
        <v>2073</v>
      </c>
      <c r="K30" s="139">
        <f>+K17</f>
        <v>2916</v>
      </c>
      <c r="L30" s="139">
        <f>+L17</f>
        <v>3888</v>
      </c>
      <c r="M30" s="139">
        <f>+M17</f>
        <v>4860</v>
      </c>
      <c r="N30" s="139">
        <f>+N17</f>
        <v>6804</v>
      </c>
      <c r="O30" s="139">
        <f>+O17</f>
        <v>7776</v>
      </c>
      <c r="P30" s="139">
        <f t="shared" ref="P30:V30" si="27">+P17</f>
        <v>7776</v>
      </c>
      <c r="Q30" s="139">
        <f t="shared" si="27"/>
        <v>7776</v>
      </c>
      <c r="R30" s="139">
        <f t="shared" si="27"/>
        <v>7776</v>
      </c>
      <c r="S30" s="139">
        <f t="shared" si="27"/>
        <v>9720</v>
      </c>
      <c r="T30" s="139">
        <f t="shared" si="27"/>
        <v>9720</v>
      </c>
      <c r="U30" s="139">
        <f t="shared" si="27"/>
        <v>4860</v>
      </c>
      <c r="V30" s="139">
        <f t="shared" si="27"/>
        <v>9720</v>
      </c>
      <c r="W30" s="384">
        <f>+V30</f>
        <v>9720</v>
      </c>
      <c r="X30" s="380"/>
      <c r="Y30" s="386"/>
      <c r="Z30" s="40"/>
      <c r="AA30" s="317"/>
      <c r="AB30" s="318"/>
      <c r="AC30" s="317"/>
      <c r="AD30" s="318"/>
    </row>
    <row r="31" spans="3:37" ht="24.6" customHeight="1" thickBot="1" x14ac:dyDescent="0.25">
      <c r="C31" s="88"/>
      <c r="D31" s="128" t="s">
        <v>410</v>
      </c>
      <c r="E31" s="38" t="s">
        <v>406</v>
      </c>
      <c r="F31" s="89" t="s">
        <v>407</v>
      </c>
      <c r="G31" s="89" t="s">
        <v>411</v>
      </c>
      <c r="H31" s="89"/>
      <c r="I31" s="384"/>
      <c r="J31" s="131">
        <f>⑦当期実績予想売上代金回収関係!Q31</f>
        <v>3996</v>
      </c>
      <c r="K31" s="139">
        <f>+J30</f>
        <v>2073</v>
      </c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384">
        <f t="shared" ref="W31:W32" si="28">+V31</f>
        <v>0</v>
      </c>
      <c r="X31" s="380"/>
      <c r="Y31" s="386"/>
      <c r="Z31" s="40"/>
      <c r="AA31" s="317"/>
      <c r="AB31" s="318"/>
      <c r="AC31" s="317"/>
      <c r="AD31" s="318"/>
    </row>
    <row r="32" spans="3:37" ht="24.6" customHeight="1" thickBot="1" x14ac:dyDescent="0.25">
      <c r="C32" s="88"/>
      <c r="D32" s="128" t="s">
        <v>413</v>
      </c>
      <c r="E32" s="38" t="s">
        <v>406</v>
      </c>
      <c r="F32" s="89" t="s">
        <v>407</v>
      </c>
      <c r="G32" s="89" t="s">
        <v>411</v>
      </c>
      <c r="H32" s="89"/>
      <c r="I32" s="384"/>
      <c r="J32" s="384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384">
        <f t="shared" si="28"/>
        <v>0</v>
      </c>
      <c r="X32" s="380"/>
      <c r="Y32" s="386"/>
      <c r="Z32" s="40"/>
      <c r="AA32" s="317"/>
      <c r="AB32" s="318"/>
      <c r="AC32" s="317"/>
      <c r="AD32" s="318"/>
    </row>
    <row r="33" spans="3:30" ht="21" x14ac:dyDescent="0.2">
      <c r="C33" s="46"/>
      <c r="D33" s="130" t="s">
        <v>421</v>
      </c>
      <c r="E33" s="38" t="s">
        <v>406</v>
      </c>
      <c r="F33" s="89" t="s">
        <v>407</v>
      </c>
      <c r="G33" s="89" t="s">
        <v>411</v>
      </c>
      <c r="H33" s="89"/>
      <c r="I33" s="384">
        <v>0</v>
      </c>
      <c r="J33" s="421">
        <f t="shared" ref="J33:O33" si="29">+J17+J25-J27</f>
        <v>6069</v>
      </c>
      <c r="K33" s="421">
        <f t="shared" si="29"/>
        <v>4989</v>
      </c>
      <c r="L33" s="421">
        <f t="shared" si="29"/>
        <v>3888</v>
      </c>
      <c r="M33" s="421">
        <f t="shared" si="29"/>
        <v>4860</v>
      </c>
      <c r="N33" s="421">
        <f t="shared" si="29"/>
        <v>6804</v>
      </c>
      <c r="O33" s="421">
        <f t="shared" si="29"/>
        <v>7776</v>
      </c>
      <c r="P33" s="421">
        <f t="shared" ref="P33:V33" si="30">+P17+P25-P27</f>
        <v>7776</v>
      </c>
      <c r="Q33" s="421">
        <f t="shared" si="30"/>
        <v>7776</v>
      </c>
      <c r="R33" s="421">
        <f t="shared" si="30"/>
        <v>7776</v>
      </c>
      <c r="S33" s="421">
        <f t="shared" si="30"/>
        <v>9720</v>
      </c>
      <c r="T33" s="421">
        <f t="shared" si="30"/>
        <v>9720</v>
      </c>
      <c r="U33" s="421">
        <f t="shared" si="30"/>
        <v>4860</v>
      </c>
      <c r="V33" s="421">
        <f t="shared" si="30"/>
        <v>9720</v>
      </c>
      <c r="W33" s="123">
        <f t="shared" ref="W33" si="31">SUM(W30:W32)</f>
        <v>9720</v>
      </c>
      <c r="X33" s="141">
        <f>IF(J33="","",+W33-J33)</f>
        <v>3651</v>
      </c>
      <c r="Y33" s="142">
        <f>IF(OR(J33=0,X33=""),"",ROUND(X33/J33,3))</f>
        <v>0.60199999999999998</v>
      </c>
      <c r="Z33" s="40"/>
      <c r="AA33" s="317" t="s">
        <v>9</v>
      </c>
      <c r="AB33" s="318"/>
      <c r="AC33" s="317" t="s">
        <v>9</v>
      </c>
      <c r="AD33" s="318"/>
    </row>
    <row r="34" spans="3:30" ht="21" x14ac:dyDescent="0.2">
      <c r="D34" s="439" t="s">
        <v>405</v>
      </c>
      <c r="I34" s="139">
        <f t="shared" ref="I34:V34" si="32">+I17+I25-I27-I33</f>
        <v>0</v>
      </c>
      <c r="J34" s="139">
        <f t="shared" si="32"/>
        <v>0</v>
      </c>
      <c r="K34" s="139">
        <f t="shared" si="32"/>
        <v>0</v>
      </c>
      <c r="L34" s="139">
        <f t="shared" si="32"/>
        <v>0</v>
      </c>
      <c r="M34" s="139">
        <f t="shared" si="32"/>
        <v>0</v>
      </c>
      <c r="N34" s="139">
        <f t="shared" si="32"/>
        <v>0</v>
      </c>
      <c r="O34" s="139">
        <f t="shared" si="32"/>
        <v>0</v>
      </c>
      <c r="P34" s="139">
        <f t="shared" si="32"/>
        <v>0</v>
      </c>
      <c r="Q34" s="139">
        <f t="shared" si="32"/>
        <v>0</v>
      </c>
      <c r="R34" s="139">
        <f t="shared" si="32"/>
        <v>0</v>
      </c>
      <c r="S34" s="139">
        <f t="shared" si="32"/>
        <v>0</v>
      </c>
      <c r="T34" s="139">
        <f t="shared" si="32"/>
        <v>0</v>
      </c>
      <c r="U34" s="139">
        <f t="shared" si="32"/>
        <v>0</v>
      </c>
      <c r="V34" s="139">
        <f t="shared" si="32"/>
        <v>0</v>
      </c>
      <c r="W34" s="139">
        <f>+W17+W25-W27-W33</f>
        <v>0</v>
      </c>
      <c r="X34" s="139">
        <f>+X17+X25-X27-X33</f>
        <v>0</v>
      </c>
    </row>
    <row r="37" spans="3:30" ht="24" x14ac:dyDescent="0.15">
      <c r="C37" s="155" t="s">
        <v>583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</row>
    <row r="38" spans="3:30" ht="14.25" thickBot="1" x14ac:dyDescent="0.2"/>
    <row r="39" spans="3:30" ht="18" thickBot="1" x14ac:dyDescent="0.2">
      <c r="D39" s="1" t="s">
        <v>422</v>
      </c>
      <c r="E39" s="367" t="s">
        <v>423</v>
      </c>
      <c r="F39" s="156"/>
      <c r="G39" s="156"/>
      <c r="H39" s="157"/>
      <c r="I39" s="158"/>
      <c r="J39" s="2"/>
      <c r="K39" s="2"/>
      <c r="L39" s="2"/>
      <c r="M39" s="2"/>
      <c r="N39" s="2"/>
      <c r="O39" s="2"/>
      <c r="P39" s="2"/>
      <c r="Q39" s="2"/>
      <c r="R39" s="2"/>
      <c r="Z39" s="153" t="s">
        <v>424</v>
      </c>
      <c r="AA39" s="154"/>
      <c r="AB39" s="67" t="s">
        <v>425</v>
      </c>
      <c r="AC39" s="67" t="s">
        <v>426</v>
      </c>
      <c r="AD39" s="67" t="s">
        <v>427</v>
      </c>
    </row>
    <row r="40" spans="3:30" ht="18" thickBot="1" x14ac:dyDescent="0.2">
      <c r="D40" s="1" t="s">
        <v>428</v>
      </c>
      <c r="E40" s="367" t="s">
        <v>429</v>
      </c>
      <c r="F40" s="156"/>
      <c r="G40" s="156"/>
      <c r="H40" s="157"/>
      <c r="I40" s="158"/>
      <c r="J40" s="2"/>
      <c r="K40" s="2"/>
      <c r="L40" s="2"/>
      <c r="M40" s="2"/>
      <c r="N40" s="2"/>
      <c r="O40" s="2"/>
      <c r="P40" s="2"/>
      <c r="Q40" s="2"/>
      <c r="R40" s="2"/>
      <c r="S40" s="121" t="s">
        <v>430</v>
      </c>
      <c r="U40" t="s">
        <v>431</v>
      </c>
      <c r="Z40" s="153" t="s">
        <v>432</v>
      </c>
      <c r="AA40" s="154"/>
      <c r="AB40" s="3" t="s">
        <v>433</v>
      </c>
      <c r="AC40" s="3" t="s">
        <v>434</v>
      </c>
      <c r="AD40" s="3" t="s">
        <v>422</v>
      </c>
    </row>
    <row r="41" spans="3:30" ht="18" thickBot="1" x14ac:dyDescent="0.25">
      <c r="D41" s="132" t="s">
        <v>458</v>
      </c>
      <c r="E41" s="321" t="s">
        <v>459</v>
      </c>
      <c r="F41" s="322"/>
      <c r="G41" s="322"/>
      <c r="H41" s="322"/>
      <c r="I41" s="323"/>
      <c r="J41" s="2"/>
      <c r="K41" s="2"/>
      <c r="L41" s="2"/>
      <c r="M41" s="2"/>
      <c r="N41" s="2"/>
      <c r="O41" s="2"/>
      <c r="P41" s="2"/>
      <c r="Q41" s="2"/>
      <c r="R41" s="2"/>
      <c r="S41" s="440">
        <f>+S6</f>
        <v>0.08</v>
      </c>
      <c r="U41" s="369">
        <v>1</v>
      </c>
      <c r="V41" s="433" t="str">
        <f>IF($U41=1,"末締翌月末振込入金",IF($U41=2,"末締翌々月末振込入金",IF($U41=3,"末締翌々々月末振込入金","")))</f>
        <v>末締翌月末振込入金</v>
      </c>
      <c r="W41" s="313"/>
      <c r="X41" s="313"/>
      <c r="Y41" s="313"/>
      <c r="Z41" s="153" t="s">
        <v>435</v>
      </c>
      <c r="AA41" s="154"/>
      <c r="AB41" s="3" t="s">
        <v>412</v>
      </c>
      <c r="AC41" s="3" t="s">
        <v>412</v>
      </c>
      <c r="AD41" s="374" t="str">
        <f>+E39</f>
        <v>鈴木一也</v>
      </c>
    </row>
    <row r="42" spans="3:30" ht="14.25" thickBot="1" x14ac:dyDescent="0.2">
      <c r="D42" s="159" t="s">
        <v>372</v>
      </c>
      <c r="E42" s="160"/>
      <c r="F42" s="160"/>
      <c r="G42" s="160"/>
      <c r="H42" s="160"/>
      <c r="I42" s="161"/>
      <c r="J42" s="2"/>
      <c r="K42" s="2"/>
      <c r="L42" s="2"/>
      <c r="M42" s="2"/>
      <c r="N42" s="2"/>
      <c r="O42" s="2"/>
      <c r="P42" s="2"/>
      <c r="Q42" s="2"/>
      <c r="R42" s="2"/>
      <c r="Z42" s="153" t="s">
        <v>373</v>
      </c>
      <c r="AA42" s="154"/>
      <c r="AB42" s="3" t="s">
        <v>374</v>
      </c>
      <c r="AC42" s="3" t="s">
        <v>374</v>
      </c>
      <c r="AD42" s="3" t="s">
        <v>374</v>
      </c>
    </row>
    <row r="44" spans="3:30" ht="13.15" customHeight="1" x14ac:dyDescent="0.15">
      <c r="C44" s="162" t="s">
        <v>375</v>
      </c>
      <c r="D44" s="165" t="s">
        <v>376</v>
      </c>
      <c r="E44" s="168" t="s">
        <v>377</v>
      </c>
      <c r="F44" s="168" t="s">
        <v>378</v>
      </c>
      <c r="G44" s="162" t="s">
        <v>379</v>
      </c>
      <c r="H44" s="162" t="s">
        <v>380</v>
      </c>
      <c r="I44" s="162" t="s">
        <v>381</v>
      </c>
      <c r="J44" s="162" t="s">
        <v>382</v>
      </c>
      <c r="K44" s="5" t="s">
        <v>38</v>
      </c>
      <c r="L44" s="5" t="s">
        <v>38</v>
      </c>
      <c r="M44" s="5" t="s">
        <v>38</v>
      </c>
      <c r="N44" s="5" t="s">
        <v>38</v>
      </c>
      <c r="O44" s="5" t="s">
        <v>38</v>
      </c>
      <c r="P44" s="5" t="s">
        <v>38</v>
      </c>
      <c r="Q44" s="5" t="s">
        <v>38</v>
      </c>
      <c r="R44" s="5" t="s">
        <v>38</v>
      </c>
      <c r="S44" s="5" t="s">
        <v>38</v>
      </c>
      <c r="T44" s="5" t="s">
        <v>600</v>
      </c>
      <c r="U44" s="5" t="s">
        <v>600</v>
      </c>
      <c r="V44" s="5" t="s">
        <v>600</v>
      </c>
      <c r="W44" s="162" t="s">
        <v>455</v>
      </c>
      <c r="X44" s="162" t="s">
        <v>456</v>
      </c>
      <c r="Y44" s="162" t="s">
        <v>457</v>
      </c>
      <c r="Z44" s="171" t="s">
        <v>570</v>
      </c>
      <c r="AA44" s="172"/>
      <c r="AB44" s="172"/>
      <c r="AC44" s="172"/>
      <c r="AD44" s="173"/>
    </row>
    <row r="45" spans="3:30" x14ac:dyDescent="0.15">
      <c r="C45" s="163"/>
      <c r="D45" s="166"/>
      <c r="E45" s="169"/>
      <c r="F45" s="169"/>
      <c r="G45" s="166"/>
      <c r="H45" s="166"/>
      <c r="I45" s="166"/>
      <c r="J45" s="166"/>
      <c r="K45" s="5" t="s">
        <v>36</v>
      </c>
      <c r="L45" s="5" t="s">
        <v>451</v>
      </c>
      <c r="M45" s="5" t="s">
        <v>41</v>
      </c>
      <c r="N45" s="5" t="s">
        <v>42</v>
      </c>
      <c r="O45" s="5" t="s">
        <v>452</v>
      </c>
      <c r="P45" s="5" t="s">
        <v>453</v>
      </c>
      <c r="Q45" s="5" t="s">
        <v>454</v>
      </c>
      <c r="R45" s="5" t="s">
        <v>383</v>
      </c>
      <c r="S45" s="5" t="s">
        <v>129</v>
      </c>
      <c r="T45" s="5" t="s">
        <v>23</v>
      </c>
      <c r="U45" s="5" t="s">
        <v>24</v>
      </c>
      <c r="V45" s="5" t="s">
        <v>25</v>
      </c>
      <c r="W45" s="163"/>
      <c r="X45" s="163"/>
      <c r="Y45" s="163"/>
      <c r="Z45" s="174"/>
      <c r="AA45" s="175"/>
      <c r="AB45" s="175"/>
      <c r="AC45" s="175"/>
      <c r="AD45" s="176"/>
    </row>
    <row r="46" spans="3:30" x14ac:dyDescent="0.15">
      <c r="C46" s="164"/>
      <c r="D46" s="167"/>
      <c r="E46" s="170"/>
      <c r="F46" s="170"/>
      <c r="G46" s="167"/>
      <c r="H46" s="167"/>
      <c r="I46" s="167"/>
      <c r="J46" s="167"/>
      <c r="K46" s="5" t="s">
        <v>450</v>
      </c>
      <c r="L46" s="5" t="s">
        <v>450</v>
      </c>
      <c r="M46" s="5" t="s">
        <v>450</v>
      </c>
      <c r="N46" s="5" t="s">
        <v>450</v>
      </c>
      <c r="O46" s="5" t="s">
        <v>450</v>
      </c>
      <c r="P46" s="5" t="s">
        <v>450</v>
      </c>
      <c r="Q46" s="5" t="s">
        <v>450</v>
      </c>
      <c r="R46" s="5" t="s">
        <v>450</v>
      </c>
      <c r="S46" s="5" t="s">
        <v>450</v>
      </c>
      <c r="T46" s="5" t="s">
        <v>450</v>
      </c>
      <c r="U46" s="5" t="s">
        <v>450</v>
      </c>
      <c r="V46" s="5" t="s">
        <v>450</v>
      </c>
      <c r="W46" s="164"/>
      <c r="X46" s="164"/>
      <c r="Y46" s="164"/>
      <c r="Z46" s="177"/>
      <c r="AA46" s="178"/>
      <c r="AB46" s="178"/>
      <c r="AC46" s="178"/>
      <c r="AD46" s="179"/>
    </row>
    <row r="47" spans="3:30" ht="27" x14ac:dyDescent="0.15">
      <c r="C47" s="6"/>
      <c r="D47" s="6"/>
      <c r="E47" s="6"/>
      <c r="F47" s="6"/>
      <c r="G47" s="6"/>
      <c r="H47" s="6"/>
      <c r="I47" s="375" t="s">
        <v>26</v>
      </c>
      <c r="J47" s="375" t="s">
        <v>52</v>
      </c>
      <c r="K47" s="375" t="s">
        <v>555</v>
      </c>
      <c r="L47" s="375" t="s">
        <v>556</v>
      </c>
      <c r="M47" s="375" t="s">
        <v>557</v>
      </c>
      <c r="N47" s="375" t="s">
        <v>558</v>
      </c>
      <c r="O47" s="375" t="s">
        <v>559</v>
      </c>
      <c r="P47" s="375" t="s">
        <v>560</v>
      </c>
      <c r="Q47" s="375" t="s">
        <v>561</v>
      </c>
      <c r="R47" s="375" t="s">
        <v>562</v>
      </c>
      <c r="S47" s="375" t="s">
        <v>563</v>
      </c>
      <c r="T47" s="375" t="s">
        <v>564</v>
      </c>
      <c r="U47" s="375" t="s">
        <v>565</v>
      </c>
      <c r="V47" s="375" t="s">
        <v>566</v>
      </c>
      <c r="W47" s="376" t="s">
        <v>567</v>
      </c>
      <c r="X47" s="377" t="s">
        <v>568</v>
      </c>
      <c r="Y47" s="377" t="s">
        <v>569</v>
      </c>
      <c r="Z47" s="378" t="s">
        <v>14</v>
      </c>
      <c r="AA47" s="441" t="s">
        <v>571</v>
      </c>
      <c r="AB47" s="319"/>
      <c r="AC47" s="441" t="s">
        <v>572</v>
      </c>
      <c r="AD47" s="319"/>
    </row>
    <row r="48" spans="3:30" ht="14.25" thickBot="1" x14ac:dyDescent="0.2"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208"/>
      <c r="AB48" s="210"/>
      <c r="AC48" s="208"/>
      <c r="AD48" s="210"/>
    </row>
    <row r="49" spans="3:30" ht="42.75" thickBot="1" x14ac:dyDescent="0.25">
      <c r="C49" s="109" t="s">
        <v>28</v>
      </c>
      <c r="D49" s="50" t="s">
        <v>391</v>
      </c>
      <c r="E49" s="38" t="s">
        <v>77</v>
      </c>
      <c r="F49" s="107" t="s">
        <v>78</v>
      </c>
      <c r="G49" s="107" t="s">
        <v>80</v>
      </c>
      <c r="H49" s="108" t="s">
        <v>395</v>
      </c>
      <c r="I49" s="384"/>
      <c r="J49" s="131">
        <f>①当期実績予想売上高!O34</f>
        <v>30000</v>
      </c>
      <c r="K49" s="368">
        <v>1800</v>
      </c>
      <c r="L49" s="368">
        <v>1800</v>
      </c>
      <c r="M49" s="368">
        <v>1800</v>
      </c>
      <c r="N49" s="368">
        <v>2700</v>
      </c>
      <c r="O49" s="368">
        <v>2700</v>
      </c>
      <c r="P49" s="368">
        <v>2700</v>
      </c>
      <c r="Q49" s="368">
        <v>2700</v>
      </c>
      <c r="R49" s="368">
        <v>2700</v>
      </c>
      <c r="S49" s="368">
        <v>3600</v>
      </c>
      <c r="T49" s="368">
        <v>4500</v>
      </c>
      <c r="U49" s="368">
        <v>4500</v>
      </c>
      <c r="V49" s="368">
        <v>4500</v>
      </c>
      <c r="W49" s="379">
        <f>SUM(K49:V49)</f>
        <v>36000</v>
      </c>
      <c r="X49" s="143">
        <f>IF(J49="","",+W49-J49)</f>
        <v>6000</v>
      </c>
      <c r="Y49" s="144">
        <f>IF(OR(J49=0,X49=""),"",ROUND(X49/J49,3))</f>
        <v>0.2</v>
      </c>
      <c r="Z49" s="48"/>
      <c r="AA49" s="317" t="s">
        <v>9</v>
      </c>
      <c r="AB49" s="318"/>
      <c r="AC49" s="317" t="s">
        <v>9</v>
      </c>
      <c r="AD49" s="318"/>
    </row>
    <row r="50" spans="3:30" ht="21.75" thickBot="1" x14ac:dyDescent="0.25">
      <c r="C50" s="109" t="s">
        <v>30</v>
      </c>
      <c r="D50" s="37" t="s">
        <v>397</v>
      </c>
      <c r="E50" s="38" t="s">
        <v>77</v>
      </c>
      <c r="F50" s="107" t="s">
        <v>78</v>
      </c>
      <c r="G50" s="107" t="s">
        <v>80</v>
      </c>
      <c r="H50" s="107"/>
      <c r="I50" s="384">
        <f>IF($H$14="〇",ROUND(I49*$S$6,),0)</f>
        <v>0</v>
      </c>
      <c r="J50" s="384">
        <f>IF($H$14="〇",ROUND(J49*$S$6,),0)</f>
        <v>2400</v>
      </c>
      <c r="K50" s="384">
        <f>IF($H$14="〇",ROUND(K49*$S$6,),0)</f>
        <v>144</v>
      </c>
      <c r="L50" s="384">
        <f>IF($H$14="〇",ROUND(L49*$S$6,),0)</f>
        <v>144</v>
      </c>
      <c r="M50" s="384">
        <f>IF($H$14="〇",ROUND(M49*$S$6,),0)</f>
        <v>144</v>
      </c>
      <c r="N50" s="384">
        <f t="shared" ref="N50" si="33">IF($H$14="〇",ROUND(N49*$S$6,),0)</f>
        <v>216</v>
      </c>
      <c r="O50" s="384">
        <f t="shared" ref="O50" si="34">IF($H$14="〇",ROUND(O49*$S$6,),0)</f>
        <v>216</v>
      </c>
      <c r="P50" s="384">
        <f t="shared" ref="P50" si="35">IF($H$14="〇",ROUND(P49*$S$6,),0)</f>
        <v>216</v>
      </c>
      <c r="Q50" s="384">
        <f t="shared" ref="Q50" si="36">IF($H$14="〇",ROUND(Q49*$S$6,),0)</f>
        <v>216</v>
      </c>
      <c r="R50" s="384">
        <f t="shared" ref="R50" si="37">IF($H$14="〇",ROUND(R49*$S$6,),0)</f>
        <v>216</v>
      </c>
      <c r="S50" s="384">
        <f t="shared" ref="S50" si="38">IF($H$14="〇",ROUND(S49*$S$6,),0)</f>
        <v>288</v>
      </c>
      <c r="T50" s="384">
        <f t="shared" ref="T50" si="39">IF($H$14="〇",ROUND(T49*$S$6,),0)</f>
        <v>360</v>
      </c>
      <c r="U50" s="384">
        <f t="shared" ref="U50" si="40">IF($H$14="〇",ROUND(U49*$S$6,),0)</f>
        <v>360</v>
      </c>
      <c r="V50" s="384">
        <f t="shared" ref="V50" si="41">IF($H$14="〇",ROUND(V49*$S$6,),0)</f>
        <v>360</v>
      </c>
      <c r="W50" s="379">
        <f>SUM(K50:V50)</f>
        <v>2880</v>
      </c>
      <c r="X50" s="141">
        <f>IF(J50="","",+W50-J50)</f>
        <v>480</v>
      </c>
      <c r="Y50" s="142">
        <f>IF(OR(J50=0,X50=""),"",ROUND(X50/J50,3))</f>
        <v>0.2</v>
      </c>
      <c r="Z50" s="40"/>
      <c r="AA50" s="317" t="s">
        <v>9</v>
      </c>
      <c r="AB50" s="318"/>
      <c r="AC50" s="317" t="s">
        <v>9</v>
      </c>
      <c r="AD50" s="318"/>
    </row>
    <row r="51" spans="3:30" ht="21.75" thickBot="1" x14ac:dyDescent="0.25">
      <c r="C51" s="109" t="s">
        <v>31</v>
      </c>
      <c r="D51" s="37" t="s">
        <v>399</v>
      </c>
      <c r="E51" s="38" t="s">
        <v>77</v>
      </c>
      <c r="F51" s="107" t="s">
        <v>78</v>
      </c>
      <c r="G51" s="107" t="s">
        <v>80</v>
      </c>
      <c r="H51" s="107"/>
      <c r="I51" s="384">
        <f>SUM(I49:I50)</f>
        <v>0</v>
      </c>
      <c r="J51" s="384">
        <f t="shared" ref="J51:W51" si="42">SUM(J49:J50)</f>
        <v>32400</v>
      </c>
      <c r="K51" s="384">
        <f t="shared" si="42"/>
        <v>1944</v>
      </c>
      <c r="L51" s="384">
        <f t="shared" si="42"/>
        <v>1944</v>
      </c>
      <c r="M51" s="384">
        <f t="shared" si="42"/>
        <v>1944</v>
      </c>
      <c r="N51" s="384">
        <f t="shared" si="42"/>
        <v>2916</v>
      </c>
      <c r="O51" s="384">
        <f t="shared" si="42"/>
        <v>2916</v>
      </c>
      <c r="P51" s="384">
        <f t="shared" si="42"/>
        <v>2916</v>
      </c>
      <c r="Q51" s="384">
        <f t="shared" si="42"/>
        <v>2916</v>
      </c>
      <c r="R51" s="384">
        <f t="shared" si="42"/>
        <v>2916</v>
      </c>
      <c r="S51" s="384">
        <f t="shared" si="42"/>
        <v>3888</v>
      </c>
      <c r="T51" s="384">
        <f t="shared" si="42"/>
        <v>4860</v>
      </c>
      <c r="U51" s="384">
        <f t="shared" si="42"/>
        <v>4860</v>
      </c>
      <c r="V51" s="384">
        <f t="shared" si="42"/>
        <v>4860</v>
      </c>
      <c r="W51" s="384">
        <f t="shared" si="42"/>
        <v>38880</v>
      </c>
      <c r="X51" s="380"/>
      <c r="Y51" s="386"/>
      <c r="Z51" s="40"/>
      <c r="AA51" s="317"/>
      <c r="AB51" s="318"/>
      <c r="AC51" s="317"/>
      <c r="AD51" s="318"/>
    </row>
    <row r="52" spans="3:30" ht="21.75" thickBot="1" x14ac:dyDescent="0.25">
      <c r="C52" s="109" t="s">
        <v>33</v>
      </c>
      <c r="D52" s="122" t="s">
        <v>401</v>
      </c>
      <c r="E52" s="38" t="s">
        <v>77</v>
      </c>
      <c r="F52" s="107" t="s">
        <v>78</v>
      </c>
      <c r="G52" s="107" t="s">
        <v>198</v>
      </c>
      <c r="H52" s="107"/>
      <c r="I52" s="384">
        <f>+I51</f>
        <v>0</v>
      </c>
      <c r="J52" s="384">
        <f t="shared" ref="J52:V52" si="43">+J51</f>
        <v>32400</v>
      </c>
      <c r="K52" s="390">
        <f t="shared" si="43"/>
        <v>1944</v>
      </c>
      <c r="L52" s="384">
        <f t="shared" si="43"/>
        <v>1944</v>
      </c>
      <c r="M52" s="384">
        <f t="shared" si="43"/>
        <v>1944</v>
      </c>
      <c r="N52" s="384">
        <f t="shared" si="43"/>
        <v>2916</v>
      </c>
      <c r="O52" s="384">
        <f t="shared" si="43"/>
        <v>2916</v>
      </c>
      <c r="P52" s="384">
        <f t="shared" si="43"/>
        <v>2916</v>
      </c>
      <c r="Q52" s="384">
        <f t="shared" si="43"/>
        <v>2916</v>
      </c>
      <c r="R52" s="384">
        <f t="shared" si="43"/>
        <v>2916</v>
      </c>
      <c r="S52" s="384">
        <f t="shared" si="43"/>
        <v>3888</v>
      </c>
      <c r="T52" s="384">
        <f t="shared" si="43"/>
        <v>4860</v>
      </c>
      <c r="U52" s="384">
        <f t="shared" si="43"/>
        <v>4860</v>
      </c>
      <c r="V52" s="384">
        <f t="shared" si="43"/>
        <v>4860</v>
      </c>
      <c r="W52" s="56">
        <f>SUM(K52:V52)</f>
        <v>38880</v>
      </c>
      <c r="X52" s="141">
        <f>IF(J52="","",+W52-J52)</f>
        <v>6480</v>
      </c>
      <c r="Y52" s="142">
        <f>IF(OR(J52=0,X52=""),"",ROUND(X52/J52,3))</f>
        <v>0.2</v>
      </c>
      <c r="Z52" s="40"/>
      <c r="AA52" s="317" t="s">
        <v>9</v>
      </c>
      <c r="AB52" s="318"/>
      <c r="AC52" s="317" t="s">
        <v>9</v>
      </c>
      <c r="AD52" s="318"/>
    </row>
    <row r="53" spans="3:30" ht="21.75" thickBot="1" x14ac:dyDescent="0.25">
      <c r="C53" s="109" t="s">
        <v>199</v>
      </c>
      <c r="D53" s="37" t="s">
        <v>404</v>
      </c>
      <c r="E53" s="38" t="s">
        <v>77</v>
      </c>
      <c r="F53" s="107" t="s">
        <v>78</v>
      </c>
      <c r="G53" s="107" t="s">
        <v>198</v>
      </c>
      <c r="H53" s="107"/>
      <c r="I53" s="384">
        <f>+I52</f>
        <v>0</v>
      </c>
      <c r="J53" s="384">
        <f t="shared" ref="J53:W53" si="44">+J52</f>
        <v>32400</v>
      </c>
      <c r="K53" s="384">
        <f t="shared" si="44"/>
        <v>1944</v>
      </c>
      <c r="L53" s="384">
        <f t="shared" si="44"/>
        <v>1944</v>
      </c>
      <c r="M53" s="384">
        <f t="shared" si="44"/>
        <v>1944</v>
      </c>
      <c r="N53" s="384">
        <f t="shared" si="44"/>
        <v>2916</v>
      </c>
      <c r="O53" s="384">
        <f t="shared" si="44"/>
        <v>2916</v>
      </c>
      <c r="P53" s="384">
        <f t="shared" si="44"/>
        <v>2916</v>
      </c>
      <c r="Q53" s="384">
        <f t="shared" si="44"/>
        <v>2916</v>
      </c>
      <c r="R53" s="384">
        <f t="shared" si="44"/>
        <v>2916</v>
      </c>
      <c r="S53" s="384">
        <f t="shared" si="44"/>
        <v>3888</v>
      </c>
      <c r="T53" s="384">
        <f t="shared" si="44"/>
        <v>4860</v>
      </c>
      <c r="U53" s="384">
        <f t="shared" si="44"/>
        <v>4860</v>
      </c>
      <c r="V53" s="384">
        <f t="shared" si="44"/>
        <v>4860</v>
      </c>
      <c r="W53" s="384">
        <f t="shared" si="44"/>
        <v>38880</v>
      </c>
      <c r="X53" s="380"/>
      <c r="Y53" s="386"/>
      <c r="Z53" s="40"/>
      <c r="AA53" s="317"/>
      <c r="AB53" s="318"/>
      <c r="AC53" s="317"/>
      <c r="AD53" s="318"/>
    </row>
    <row r="54" spans="3:30" ht="21.75" thickBot="1" x14ac:dyDescent="0.25">
      <c r="C54" s="109"/>
      <c r="D54" s="37" t="s">
        <v>405</v>
      </c>
      <c r="E54" s="38" t="s">
        <v>77</v>
      </c>
      <c r="F54" s="107" t="s">
        <v>78</v>
      </c>
      <c r="G54" s="107"/>
      <c r="H54" s="107"/>
      <c r="I54" s="384">
        <f>+I51-I51</f>
        <v>0</v>
      </c>
      <c r="J54" s="384">
        <f t="shared" ref="J54:W54" si="45">+J51-J51</f>
        <v>0</v>
      </c>
      <c r="K54" s="384">
        <f t="shared" si="45"/>
        <v>0</v>
      </c>
      <c r="L54" s="384">
        <f t="shared" si="45"/>
        <v>0</v>
      </c>
      <c r="M54" s="384">
        <f t="shared" si="45"/>
        <v>0</v>
      </c>
      <c r="N54" s="384">
        <f t="shared" si="45"/>
        <v>0</v>
      </c>
      <c r="O54" s="384">
        <f t="shared" si="45"/>
        <v>0</v>
      </c>
      <c r="P54" s="384">
        <f t="shared" si="45"/>
        <v>0</v>
      </c>
      <c r="Q54" s="384">
        <f t="shared" si="45"/>
        <v>0</v>
      </c>
      <c r="R54" s="384">
        <f t="shared" si="45"/>
        <v>0</v>
      </c>
      <c r="S54" s="384">
        <f t="shared" si="45"/>
        <v>0</v>
      </c>
      <c r="T54" s="384">
        <f t="shared" si="45"/>
        <v>0</v>
      </c>
      <c r="U54" s="384">
        <f t="shared" si="45"/>
        <v>0</v>
      </c>
      <c r="V54" s="384">
        <f t="shared" si="45"/>
        <v>0</v>
      </c>
      <c r="W54" s="384">
        <f t="shared" si="45"/>
        <v>0</v>
      </c>
      <c r="X54" s="380"/>
      <c r="Y54" s="386"/>
      <c r="Z54" s="40"/>
      <c r="AA54" s="317"/>
      <c r="AB54" s="318"/>
      <c r="AC54" s="317"/>
      <c r="AD54" s="318"/>
    </row>
    <row r="55" spans="3:30" ht="21.75" thickBot="1" x14ac:dyDescent="0.25">
      <c r="C55" s="109"/>
      <c r="D55" s="37" t="s">
        <v>408</v>
      </c>
      <c r="E55" s="38"/>
      <c r="F55" s="107"/>
      <c r="G55" s="107"/>
      <c r="H55" s="107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0"/>
      <c r="Y55" s="386"/>
      <c r="Z55" s="40"/>
      <c r="AA55" s="317"/>
      <c r="AB55" s="318"/>
      <c r="AC55" s="317"/>
      <c r="AD55" s="318"/>
    </row>
    <row r="56" spans="3:30" ht="21.75" thickBot="1" x14ac:dyDescent="0.25">
      <c r="C56" s="109"/>
      <c r="D56" s="122" t="s">
        <v>409</v>
      </c>
      <c r="E56" s="38"/>
      <c r="F56" s="107"/>
      <c r="G56" s="107"/>
      <c r="H56" s="107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5"/>
      <c r="Y56" s="136"/>
      <c r="Z56" s="137"/>
      <c r="AA56" s="317"/>
      <c r="AB56" s="318"/>
      <c r="AC56" s="317"/>
      <c r="AD56" s="318"/>
    </row>
    <row r="57" spans="3:30" ht="21.75" thickBot="1" x14ac:dyDescent="0.25">
      <c r="C57" s="109"/>
      <c r="D57" s="37" t="s">
        <v>410</v>
      </c>
      <c r="E57" s="38" t="s">
        <v>77</v>
      </c>
      <c r="F57" s="107" t="s">
        <v>78</v>
      </c>
      <c r="G57" s="107" t="s">
        <v>198</v>
      </c>
      <c r="H57" s="107"/>
      <c r="I57" s="384"/>
      <c r="J57" s="390"/>
      <c r="K57" s="133">
        <f>+J65</f>
        <v>1080</v>
      </c>
      <c r="L57" s="133">
        <f>+K65</f>
        <v>1944</v>
      </c>
      <c r="M57" s="140">
        <f>+L65</f>
        <v>1944</v>
      </c>
      <c r="N57" s="133">
        <f>+M65</f>
        <v>1944</v>
      </c>
      <c r="O57" s="133">
        <f>+N65</f>
        <v>2916</v>
      </c>
      <c r="P57" s="133">
        <f t="shared" ref="P57:V57" si="46">+O65</f>
        <v>2916</v>
      </c>
      <c r="Q57" s="133">
        <f t="shared" si="46"/>
        <v>2916</v>
      </c>
      <c r="R57" s="133">
        <f t="shared" si="46"/>
        <v>2916</v>
      </c>
      <c r="S57" s="133">
        <f t="shared" si="46"/>
        <v>2916</v>
      </c>
      <c r="T57" s="133">
        <f t="shared" si="46"/>
        <v>3888</v>
      </c>
      <c r="U57" s="133">
        <f t="shared" si="46"/>
        <v>4860</v>
      </c>
      <c r="V57" s="133">
        <f t="shared" si="46"/>
        <v>4860</v>
      </c>
      <c r="W57" s="131">
        <f>+K57</f>
        <v>1080</v>
      </c>
      <c r="X57" s="380"/>
      <c r="Y57" s="386"/>
      <c r="Z57" s="40"/>
      <c r="AA57" s="317"/>
      <c r="AB57" s="318"/>
      <c r="AC57" s="317"/>
      <c r="AD57" s="318"/>
    </row>
    <row r="58" spans="3:30" ht="21.75" thickBot="1" x14ac:dyDescent="0.25">
      <c r="C58" s="109"/>
      <c r="D58" s="37" t="s">
        <v>413</v>
      </c>
      <c r="E58" s="38" t="s">
        <v>77</v>
      </c>
      <c r="F58" s="107" t="s">
        <v>78</v>
      </c>
      <c r="G58" s="107" t="s">
        <v>198</v>
      </c>
      <c r="H58" s="107"/>
      <c r="I58" s="384"/>
      <c r="J58" s="390"/>
      <c r="K58" s="133">
        <f t="shared" ref="K58:V58" si="47">+J66</f>
        <v>1080</v>
      </c>
      <c r="L58" s="133">
        <f t="shared" si="47"/>
        <v>1080</v>
      </c>
      <c r="M58" s="140">
        <f t="shared" si="47"/>
        <v>0</v>
      </c>
      <c r="N58" s="133">
        <f t="shared" si="47"/>
        <v>0</v>
      </c>
      <c r="O58" s="133">
        <f t="shared" si="47"/>
        <v>0</v>
      </c>
      <c r="P58" s="133">
        <f t="shared" si="47"/>
        <v>0</v>
      </c>
      <c r="Q58" s="133">
        <f t="shared" si="47"/>
        <v>0</v>
      </c>
      <c r="R58" s="133">
        <f t="shared" si="47"/>
        <v>0</v>
      </c>
      <c r="S58" s="133">
        <f t="shared" si="47"/>
        <v>0</v>
      </c>
      <c r="T58" s="133">
        <f t="shared" si="47"/>
        <v>0</v>
      </c>
      <c r="U58" s="133">
        <f t="shared" si="47"/>
        <v>0</v>
      </c>
      <c r="V58" s="133">
        <f t="shared" si="47"/>
        <v>0</v>
      </c>
      <c r="W58" s="131">
        <f>+K58</f>
        <v>1080</v>
      </c>
      <c r="X58" s="380"/>
      <c r="Y58" s="386"/>
      <c r="Z58" s="40"/>
      <c r="AA58" s="317"/>
      <c r="AB58" s="318"/>
      <c r="AC58" s="317"/>
      <c r="AD58" s="318"/>
    </row>
    <row r="59" spans="3:30" ht="21.75" thickBot="1" x14ac:dyDescent="0.25">
      <c r="C59" s="109"/>
      <c r="D59" s="37" t="s">
        <v>414</v>
      </c>
      <c r="E59" s="38" t="s">
        <v>77</v>
      </c>
      <c r="F59" s="107" t="s">
        <v>78</v>
      </c>
      <c r="G59" s="107" t="s">
        <v>198</v>
      </c>
      <c r="H59" s="107"/>
      <c r="I59" s="384"/>
      <c r="J59" s="390"/>
      <c r="K59" s="133">
        <f t="shared" ref="K59:V59" si="48">+J67</f>
        <v>0</v>
      </c>
      <c r="L59" s="133">
        <f t="shared" si="48"/>
        <v>0</v>
      </c>
      <c r="M59" s="140">
        <f t="shared" si="48"/>
        <v>0</v>
      </c>
      <c r="N59" s="133">
        <f t="shared" si="48"/>
        <v>0</v>
      </c>
      <c r="O59" s="133">
        <f t="shared" si="48"/>
        <v>0</v>
      </c>
      <c r="P59" s="133">
        <f t="shared" si="48"/>
        <v>0</v>
      </c>
      <c r="Q59" s="133">
        <f t="shared" si="48"/>
        <v>0</v>
      </c>
      <c r="R59" s="133">
        <f t="shared" si="48"/>
        <v>0</v>
      </c>
      <c r="S59" s="133">
        <f t="shared" si="48"/>
        <v>0</v>
      </c>
      <c r="T59" s="133">
        <f t="shared" si="48"/>
        <v>0</v>
      </c>
      <c r="U59" s="133">
        <f t="shared" si="48"/>
        <v>0</v>
      </c>
      <c r="V59" s="133">
        <f t="shared" si="48"/>
        <v>0</v>
      </c>
      <c r="W59" s="131">
        <f>+K59</f>
        <v>0</v>
      </c>
      <c r="X59" s="380"/>
      <c r="Y59" s="386"/>
      <c r="Z59" s="40"/>
      <c r="AA59" s="317"/>
      <c r="AB59" s="318"/>
      <c r="AC59" s="317"/>
      <c r="AD59" s="318"/>
    </row>
    <row r="60" spans="3:30" ht="21.75" thickBot="1" x14ac:dyDescent="0.25">
      <c r="C60" s="109"/>
      <c r="D60" s="127" t="s">
        <v>415</v>
      </c>
      <c r="E60" s="38" t="s">
        <v>77</v>
      </c>
      <c r="F60" s="107" t="s">
        <v>78</v>
      </c>
      <c r="G60" s="107" t="s">
        <v>198</v>
      </c>
      <c r="H60" s="107"/>
      <c r="I60" s="436">
        <f t="shared" ref="I60" si="49">SUM(I57:I59)</f>
        <v>0</v>
      </c>
      <c r="J60" s="436">
        <f t="shared" ref="J60:W60" si="50">SUM(J57:J59)</f>
        <v>0</v>
      </c>
      <c r="K60" s="436">
        <f t="shared" si="50"/>
        <v>2160</v>
      </c>
      <c r="L60" s="436">
        <f t="shared" si="50"/>
        <v>3024</v>
      </c>
      <c r="M60" s="442">
        <f t="shared" si="50"/>
        <v>1944</v>
      </c>
      <c r="N60" s="384">
        <f t="shared" si="50"/>
        <v>1944</v>
      </c>
      <c r="O60" s="384">
        <f t="shared" si="50"/>
        <v>2916</v>
      </c>
      <c r="P60" s="384">
        <f t="shared" si="50"/>
        <v>2916</v>
      </c>
      <c r="Q60" s="384">
        <f t="shared" si="50"/>
        <v>2916</v>
      </c>
      <c r="R60" s="384">
        <f t="shared" si="50"/>
        <v>2916</v>
      </c>
      <c r="S60" s="384">
        <f t="shared" si="50"/>
        <v>2916</v>
      </c>
      <c r="T60" s="384">
        <f t="shared" si="50"/>
        <v>3888</v>
      </c>
      <c r="U60" s="384">
        <f t="shared" si="50"/>
        <v>4860</v>
      </c>
      <c r="V60" s="384">
        <f t="shared" si="50"/>
        <v>4860</v>
      </c>
      <c r="W60" s="123">
        <f t="shared" si="50"/>
        <v>2160</v>
      </c>
      <c r="X60" s="141">
        <f>IF(J60="","",+W60-J60)</f>
        <v>2160</v>
      </c>
      <c r="Y60" s="142" t="str">
        <f>IF(OR(J60=0,X60=""),"",ROUND(X60/J60,3))</f>
        <v/>
      </c>
      <c r="Z60" s="40"/>
      <c r="AA60" s="317" t="s">
        <v>9</v>
      </c>
      <c r="AB60" s="318"/>
      <c r="AC60" s="317" t="s">
        <v>9</v>
      </c>
      <c r="AD60" s="318"/>
    </row>
    <row r="61" spans="3:30" ht="21.75" thickBot="1" x14ac:dyDescent="0.25">
      <c r="C61" s="109"/>
      <c r="D61" s="128"/>
      <c r="E61" s="38"/>
      <c r="F61" s="107"/>
      <c r="G61" s="107"/>
      <c r="H61" s="107"/>
      <c r="I61" s="384"/>
      <c r="J61" s="384"/>
      <c r="K61" s="107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384"/>
      <c r="X61" s="380"/>
      <c r="Y61" s="386"/>
      <c r="Z61" s="40"/>
      <c r="AA61" s="317"/>
      <c r="AB61" s="318"/>
      <c r="AC61" s="317"/>
      <c r="AD61" s="318"/>
    </row>
    <row r="62" spans="3:30" ht="21.75" thickBot="1" x14ac:dyDescent="0.25">
      <c r="C62" s="109"/>
      <c r="D62" s="129" t="s">
        <v>416</v>
      </c>
      <c r="E62" s="38" t="s">
        <v>77</v>
      </c>
      <c r="F62" s="107" t="s">
        <v>78</v>
      </c>
      <c r="G62" s="107" t="s">
        <v>80</v>
      </c>
      <c r="H62" s="107"/>
      <c r="I62" s="384"/>
      <c r="J62" s="131">
        <f>⑦当期実績予想売上代金回収関係!Q62</f>
        <v>30240</v>
      </c>
      <c r="K62" s="368">
        <v>1080</v>
      </c>
      <c r="L62" s="368">
        <v>3024</v>
      </c>
      <c r="M62" s="131">
        <f>+M60</f>
        <v>1944</v>
      </c>
      <c r="N62" s="131">
        <f>+N60</f>
        <v>1944</v>
      </c>
      <c r="O62" s="131">
        <f>+O60</f>
        <v>2916</v>
      </c>
      <c r="P62" s="131">
        <f t="shared" ref="P62:V62" si="51">+P60</f>
        <v>2916</v>
      </c>
      <c r="Q62" s="131">
        <f t="shared" si="51"/>
        <v>2916</v>
      </c>
      <c r="R62" s="131">
        <f t="shared" si="51"/>
        <v>2916</v>
      </c>
      <c r="S62" s="131">
        <f t="shared" si="51"/>
        <v>2916</v>
      </c>
      <c r="T62" s="131">
        <f t="shared" si="51"/>
        <v>3888</v>
      </c>
      <c r="U62" s="131">
        <f t="shared" si="51"/>
        <v>4860</v>
      </c>
      <c r="V62" s="131">
        <f t="shared" si="51"/>
        <v>4860</v>
      </c>
      <c r="W62" s="56">
        <f>SUM(K62:V62)</f>
        <v>36180</v>
      </c>
      <c r="X62" s="141">
        <f>IF(J62="","",+W62-J62)</f>
        <v>5940</v>
      </c>
      <c r="Y62" s="142">
        <f>IF(OR(J62=0,X62=""),"",ROUND(X62/J62,3))</f>
        <v>0.19600000000000001</v>
      </c>
      <c r="Z62" s="40"/>
      <c r="AA62" s="317" t="s">
        <v>9</v>
      </c>
      <c r="AB62" s="318"/>
      <c r="AC62" s="317" t="s">
        <v>9</v>
      </c>
      <c r="AD62" s="318"/>
    </row>
    <row r="63" spans="3:30" ht="21.75" thickBot="1" x14ac:dyDescent="0.25">
      <c r="C63" s="109"/>
      <c r="D63" s="128" t="s">
        <v>418</v>
      </c>
      <c r="E63" s="38" t="s">
        <v>77</v>
      </c>
      <c r="F63" s="107" t="s">
        <v>78</v>
      </c>
      <c r="G63" s="107" t="s">
        <v>198</v>
      </c>
      <c r="H63" s="107"/>
      <c r="I63" s="384"/>
      <c r="J63" s="384">
        <f t="shared" ref="J63:O63" si="52">+J62</f>
        <v>30240</v>
      </c>
      <c r="K63" s="384">
        <f t="shared" si="52"/>
        <v>1080</v>
      </c>
      <c r="L63" s="384">
        <f t="shared" si="52"/>
        <v>3024</v>
      </c>
      <c r="M63" s="384">
        <f t="shared" si="52"/>
        <v>1944</v>
      </c>
      <c r="N63" s="384">
        <f t="shared" si="52"/>
        <v>1944</v>
      </c>
      <c r="O63" s="384">
        <f t="shared" si="52"/>
        <v>2916</v>
      </c>
      <c r="P63" s="384">
        <f t="shared" ref="P63" si="53">+P62</f>
        <v>2916</v>
      </c>
      <c r="Q63" s="384">
        <f t="shared" ref="Q63" si="54">+Q62</f>
        <v>2916</v>
      </c>
      <c r="R63" s="384">
        <f t="shared" ref="R63" si="55">+R62</f>
        <v>2916</v>
      </c>
      <c r="S63" s="384">
        <f t="shared" ref="S63" si="56">+S62</f>
        <v>2916</v>
      </c>
      <c r="T63" s="384">
        <f t="shared" ref="T63" si="57">+T62</f>
        <v>3888</v>
      </c>
      <c r="U63" s="384">
        <f t="shared" ref="U63" si="58">+U62</f>
        <v>4860</v>
      </c>
      <c r="V63" s="384">
        <f t="shared" ref="V63:W63" si="59">+V62</f>
        <v>4860</v>
      </c>
      <c r="W63" s="384">
        <f t="shared" si="59"/>
        <v>36180</v>
      </c>
      <c r="X63" s="380" t="str">
        <f>IF(I63="","",+W63-I63)</f>
        <v/>
      </c>
      <c r="Y63" s="386" t="str">
        <f>IF(OR(I63=0,X63=""),"",ROUND(X63/I63,3))</f>
        <v/>
      </c>
      <c r="Z63" s="40"/>
      <c r="AA63" s="317" t="s">
        <v>9</v>
      </c>
      <c r="AB63" s="318"/>
      <c r="AC63" s="317" t="s">
        <v>9</v>
      </c>
      <c r="AD63" s="318"/>
    </row>
    <row r="64" spans="3:30" ht="21.75" thickBot="1" x14ac:dyDescent="0.2">
      <c r="C64" s="109"/>
      <c r="D64" s="127" t="s">
        <v>419</v>
      </c>
      <c r="E64" s="38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317"/>
      <c r="AB64" s="318"/>
      <c r="AC64" s="317"/>
      <c r="AD64" s="318"/>
    </row>
    <row r="65" spans="3:30" ht="21.75" thickBot="1" x14ac:dyDescent="0.25">
      <c r="C65" s="109"/>
      <c r="D65" s="128" t="s">
        <v>420</v>
      </c>
      <c r="E65" s="38" t="s">
        <v>77</v>
      </c>
      <c r="F65" s="107" t="s">
        <v>78</v>
      </c>
      <c r="G65" s="107" t="s">
        <v>198</v>
      </c>
      <c r="H65" s="107"/>
      <c r="I65" s="384"/>
      <c r="J65" s="131">
        <f>⑦当期実績予想売上代金回収関係!Q65</f>
        <v>1080</v>
      </c>
      <c r="K65" s="139">
        <f>+K52</f>
        <v>1944</v>
      </c>
      <c r="L65" s="139">
        <f>+L52</f>
        <v>1944</v>
      </c>
      <c r="M65" s="139">
        <f>+M52</f>
        <v>1944</v>
      </c>
      <c r="N65" s="139">
        <f>+N52</f>
        <v>2916</v>
      </c>
      <c r="O65" s="139">
        <f>+O52</f>
        <v>2916</v>
      </c>
      <c r="P65" s="139">
        <f t="shared" ref="P65:V65" si="60">+P52</f>
        <v>2916</v>
      </c>
      <c r="Q65" s="139">
        <f t="shared" si="60"/>
        <v>2916</v>
      </c>
      <c r="R65" s="139">
        <f t="shared" si="60"/>
        <v>2916</v>
      </c>
      <c r="S65" s="139">
        <f t="shared" si="60"/>
        <v>3888</v>
      </c>
      <c r="T65" s="139">
        <f t="shared" si="60"/>
        <v>4860</v>
      </c>
      <c r="U65" s="139">
        <f t="shared" si="60"/>
        <v>4860</v>
      </c>
      <c r="V65" s="139">
        <f t="shared" si="60"/>
        <v>4860</v>
      </c>
      <c r="W65" s="384">
        <f>+V65</f>
        <v>4860</v>
      </c>
      <c r="X65" s="380"/>
      <c r="Y65" s="386"/>
      <c r="Z65" s="40"/>
      <c r="AA65" s="317"/>
      <c r="AB65" s="318"/>
      <c r="AC65" s="317"/>
      <c r="AD65" s="318"/>
    </row>
    <row r="66" spans="3:30" ht="21.75" thickBot="1" x14ac:dyDescent="0.25">
      <c r="C66" s="109"/>
      <c r="D66" s="128" t="s">
        <v>410</v>
      </c>
      <c r="E66" s="38" t="s">
        <v>77</v>
      </c>
      <c r="F66" s="107" t="s">
        <v>78</v>
      </c>
      <c r="G66" s="107" t="s">
        <v>198</v>
      </c>
      <c r="H66" s="107"/>
      <c r="I66" s="384"/>
      <c r="J66" s="131">
        <f>⑦当期実績予想売上代金回収関係!Q66</f>
        <v>1080</v>
      </c>
      <c r="K66" s="139">
        <f>+J65</f>
        <v>1080</v>
      </c>
      <c r="L66" s="435"/>
      <c r="M66" s="435"/>
      <c r="N66" s="435"/>
      <c r="O66" s="435"/>
      <c r="P66" s="435"/>
      <c r="Q66" s="435"/>
      <c r="R66" s="435"/>
      <c r="S66" s="435"/>
      <c r="T66" s="435"/>
      <c r="U66" s="435"/>
      <c r="V66" s="435"/>
      <c r="W66" s="384">
        <f t="shared" ref="W66:W67" si="61">+V66</f>
        <v>0</v>
      </c>
      <c r="X66" s="380"/>
      <c r="Y66" s="386"/>
      <c r="Z66" s="40"/>
      <c r="AA66" s="317"/>
      <c r="AB66" s="318"/>
      <c r="AC66" s="317"/>
      <c r="AD66" s="318"/>
    </row>
    <row r="67" spans="3:30" ht="21.75" thickBot="1" x14ac:dyDescent="0.25">
      <c r="C67" s="109"/>
      <c r="D67" s="128" t="s">
        <v>413</v>
      </c>
      <c r="E67" s="38" t="s">
        <v>77</v>
      </c>
      <c r="F67" s="107" t="s">
        <v>78</v>
      </c>
      <c r="G67" s="107" t="s">
        <v>198</v>
      </c>
      <c r="H67" s="107"/>
      <c r="I67" s="384"/>
      <c r="J67" s="384"/>
      <c r="K67" s="435"/>
      <c r="L67" s="435"/>
      <c r="M67" s="435"/>
      <c r="N67" s="435"/>
      <c r="O67" s="435"/>
      <c r="P67" s="435"/>
      <c r="Q67" s="435"/>
      <c r="R67" s="435"/>
      <c r="S67" s="435"/>
      <c r="T67" s="435"/>
      <c r="U67" s="435"/>
      <c r="V67" s="435"/>
      <c r="W67" s="384">
        <f t="shared" si="61"/>
        <v>0</v>
      </c>
      <c r="X67" s="380"/>
      <c r="Y67" s="386"/>
      <c r="Z67" s="40"/>
      <c r="AA67" s="317"/>
      <c r="AB67" s="318"/>
      <c r="AC67" s="317"/>
      <c r="AD67" s="318"/>
    </row>
    <row r="68" spans="3:30" ht="21" x14ac:dyDescent="0.2">
      <c r="C68" s="46"/>
      <c r="D68" s="130" t="s">
        <v>421</v>
      </c>
      <c r="E68" s="38" t="s">
        <v>77</v>
      </c>
      <c r="F68" s="107" t="s">
        <v>78</v>
      </c>
      <c r="G68" s="107" t="s">
        <v>198</v>
      </c>
      <c r="H68" s="107"/>
      <c r="I68" s="384">
        <v>0</v>
      </c>
      <c r="J68" s="421">
        <f t="shared" ref="J68:O68" si="62">+J52+J60-J62</f>
        <v>2160</v>
      </c>
      <c r="K68" s="421">
        <f t="shared" si="62"/>
        <v>3024</v>
      </c>
      <c r="L68" s="421">
        <f t="shared" si="62"/>
        <v>1944</v>
      </c>
      <c r="M68" s="421">
        <f t="shared" si="62"/>
        <v>1944</v>
      </c>
      <c r="N68" s="421">
        <f t="shared" si="62"/>
        <v>2916</v>
      </c>
      <c r="O68" s="421">
        <f t="shared" si="62"/>
        <v>2916</v>
      </c>
      <c r="P68" s="421">
        <f t="shared" ref="P68:V68" si="63">+P52+P60-P62</f>
        <v>2916</v>
      </c>
      <c r="Q68" s="421">
        <f t="shared" si="63"/>
        <v>2916</v>
      </c>
      <c r="R68" s="421">
        <f t="shared" si="63"/>
        <v>2916</v>
      </c>
      <c r="S68" s="421">
        <f t="shared" si="63"/>
        <v>3888</v>
      </c>
      <c r="T68" s="421">
        <f t="shared" si="63"/>
        <v>4860</v>
      </c>
      <c r="U68" s="421">
        <f t="shared" si="63"/>
        <v>4860</v>
      </c>
      <c r="V68" s="421">
        <f t="shared" si="63"/>
        <v>4860</v>
      </c>
      <c r="W68" s="123">
        <f t="shared" ref="W68" si="64">SUM(W65:W67)</f>
        <v>4860</v>
      </c>
      <c r="X68" s="141">
        <f>IF(J68="","",+W68-J68)</f>
        <v>2700</v>
      </c>
      <c r="Y68" s="142">
        <f>IF(OR(J68=0,X68=""),"",ROUND(X68/J68,3))</f>
        <v>1.25</v>
      </c>
      <c r="Z68" s="40"/>
      <c r="AA68" s="317" t="s">
        <v>9</v>
      </c>
      <c r="AB68" s="318"/>
      <c r="AC68" s="317" t="s">
        <v>9</v>
      </c>
      <c r="AD68" s="318"/>
    </row>
    <row r="69" spans="3:30" ht="21" x14ac:dyDescent="0.2">
      <c r="D69" s="439" t="s">
        <v>405</v>
      </c>
      <c r="I69" s="139">
        <f t="shared" ref="I69" si="65">+I52+I60-I62-I68</f>
        <v>0</v>
      </c>
      <c r="J69" s="139">
        <f t="shared" ref="J69" si="66">+J52+J60-J62-J68</f>
        <v>0</v>
      </c>
      <c r="K69" s="139">
        <f t="shared" ref="K69" si="67">+K52+K60-K62-K68</f>
        <v>0</v>
      </c>
      <c r="L69" s="139">
        <f t="shared" ref="L69" si="68">+L52+L60-L62-L68</f>
        <v>0</v>
      </c>
      <c r="M69" s="139">
        <f t="shared" ref="M69" si="69">+M52+M60-M62-M68</f>
        <v>0</v>
      </c>
      <c r="N69" s="139">
        <f t="shared" ref="N69" si="70">+N52+N60-N62-N68</f>
        <v>0</v>
      </c>
      <c r="O69" s="139">
        <f t="shared" ref="O69" si="71">+O52+O60-O62-O68</f>
        <v>0</v>
      </c>
      <c r="P69" s="139">
        <f t="shared" ref="P69" si="72">+P52+P60-P62-P68</f>
        <v>0</v>
      </c>
      <c r="Q69" s="139">
        <f t="shared" ref="Q69" si="73">+Q52+Q60-Q62-Q68</f>
        <v>0</v>
      </c>
      <c r="R69" s="139">
        <f t="shared" ref="R69" si="74">+R52+R60-R62-R68</f>
        <v>0</v>
      </c>
      <c r="S69" s="139">
        <f t="shared" ref="S69" si="75">+S52+S60-S62-S68</f>
        <v>0</v>
      </c>
      <c r="T69" s="139">
        <f t="shared" ref="T69" si="76">+T52+T60-T62-T68</f>
        <v>0</v>
      </c>
      <c r="U69" s="139">
        <f t="shared" ref="U69" si="77">+U52+U60-U62-U68</f>
        <v>0</v>
      </c>
      <c r="V69" s="139">
        <f t="shared" ref="V69" si="78">+V52+V60-V62-V68</f>
        <v>0</v>
      </c>
      <c r="W69" s="139">
        <f>+W52+W60-W62-W68</f>
        <v>0</v>
      </c>
      <c r="X69" s="139">
        <f>+X52+X60-X62-X68</f>
        <v>0</v>
      </c>
    </row>
    <row r="75" spans="3:30" ht="24" x14ac:dyDescent="0.15">
      <c r="C75" s="155" t="s">
        <v>584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</row>
    <row r="76" spans="3:30" ht="14.25" thickBot="1" x14ac:dyDescent="0.2"/>
    <row r="77" spans="3:30" ht="18" thickBot="1" x14ac:dyDescent="0.2">
      <c r="D77" s="1" t="s">
        <v>357</v>
      </c>
      <c r="E77" s="367" t="s">
        <v>447</v>
      </c>
      <c r="F77" s="156"/>
      <c r="G77" s="156"/>
      <c r="H77" s="157"/>
      <c r="I77" s="158"/>
      <c r="J77" s="2"/>
      <c r="K77" s="2"/>
      <c r="L77" s="2"/>
      <c r="M77" s="2"/>
      <c r="N77" s="2"/>
      <c r="O77" s="2"/>
      <c r="P77" s="2"/>
      <c r="Q77" s="2"/>
      <c r="R77" s="2"/>
      <c r="Z77" s="153" t="s">
        <v>359</v>
      </c>
      <c r="AA77" s="154"/>
      <c r="AB77" s="67" t="s">
        <v>621</v>
      </c>
      <c r="AC77" s="67" t="s">
        <v>624</v>
      </c>
      <c r="AD77" s="67" t="s">
        <v>625</v>
      </c>
    </row>
    <row r="78" spans="3:30" ht="18" thickBot="1" x14ac:dyDescent="0.2">
      <c r="D78" s="1" t="s">
        <v>363</v>
      </c>
      <c r="E78" s="367" t="s">
        <v>448</v>
      </c>
      <c r="F78" s="156"/>
      <c r="G78" s="156"/>
      <c r="H78" s="157"/>
      <c r="I78" s="158"/>
      <c r="J78" s="2"/>
      <c r="K78" s="2"/>
      <c r="L78" s="2"/>
      <c r="M78" s="2"/>
      <c r="N78" s="2"/>
      <c r="O78" s="2"/>
      <c r="P78" s="2"/>
      <c r="Q78" s="2"/>
      <c r="R78" s="2"/>
      <c r="S78" s="121" t="s">
        <v>365</v>
      </c>
      <c r="U78" t="s">
        <v>366</v>
      </c>
      <c r="Z78" s="153" t="s">
        <v>367</v>
      </c>
      <c r="AA78" s="154"/>
      <c r="AB78" s="3" t="s">
        <v>368</v>
      </c>
      <c r="AC78" s="3" t="s">
        <v>369</v>
      </c>
      <c r="AD78" s="3" t="s">
        <v>357</v>
      </c>
    </row>
    <row r="79" spans="3:30" ht="18" thickBot="1" x14ac:dyDescent="0.25">
      <c r="D79" s="132" t="s">
        <v>458</v>
      </c>
      <c r="E79" s="320" t="s">
        <v>459</v>
      </c>
      <c r="F79" s="320"/>
      <c r="G79" s="320"/>
      <c r="H79" s="320"/>
      <c r="I79" s="320"/>
      <c r="J79" s="2"/>
      <c r="K79" s="2"/>
      <c r="L79" s="2"/>
      <c r="M79" s="2"/>
      <c r="N79" s="2"/>
      <c r="O79" s="2"/>
      <c r="P79" s="2"/>
      <c r="Q79" s="2"/>
      <c r="R79" s="2"/>
      <c r="S79" s="448">
        <v>0.08</v>
      </c>
      <c r="U79" s="369">
        <v>1</v>
      </c>
      <c r="V79" s="433" t="str">
        <f>IF($U79=1,"末締翌月末振込入金",IF($U79=2,"末締翌々月末振込入金",IF($U79=3,"末締翌々々月末振込入金","")))</f>
        <v>末締翌月末振込入金</v>
      </c>
      <c r="W79" s="313"/>
      <c r="X79" s="313"/>
      <c r="Y79" s="313"/>
      <c r="Z79" s="153" t="s">
        <v>370</v>
      </c>
      <c r="AA79" s="154"/>
      <c r="AB79" s="3" t="s">
        <v>371</v>
      </c>
      <c r="AC79" s="3" t="s">
        <v>371</v>
      </c>
      <c r="AD79" s="398" t="str">
        <f>+E77</f>
        <v>全社員合計</v>
      </c>
    </row>
    <row r="80" spans="3:30" ht="14.25" thickBot="1" x14ac:dyDescent="0.2">
      <c r="D80" s="159" t="s">
        <v>372</v>
      </c>
      <c r="E80" s="160"/>
      <c r="F80" s="160"/>
      <c r="G80" s="160"/>
      <c r="H80" s="160"/>
      <c r="I80" s="161"/>
      <c r="J80" s="2"/>
      <c r="K80" s="2"/>
      <c r="L80" s="2"/>
      <c r="M80" s="2"/>
      <c r="N80" s="2"/>
      <c r="O80" s="2"/>
      <c r="P80" s="2"/>
      <c r="Q80" s="2"/>
      <c r="R80" s="2"/>
      <c r="Z80" s="153" t="s">
        <v>373</v>
      </c>
      <c r="AA80" s="154"/>
      <c r="AB80" s="3" t="s">
        <v>374</v>
      </c>
      <c r="AC80" s="3" t="s">
        <v>374</v>
      </c>
      <c r="AD80" s="3" t="s">
        <v>374</v>
      </c>
    </row>
    <row r="82" spans="3:30" ht="13.15" customHeight="1" x14ac:dyDescent="0.15">
      <c r="C82" s="162" t="s">
        <v>375</v>
      </c>
      <c r="D82" s="165" t="s">
        <v>376</v>
      </c>
      <c r="E82" s="168" t="s">
        <v>377</v>
      </c>
      <c r="F82" s="168" t="s">
        <v>378</v>
      </c>
      <c r="G82" s="162" t="s">
        <v>379</v>
      </c>
      <c r="H82" s="162" t="s">
        <v>380</v>
      </c>
      <c r="I82" s="162" t="s">
        <v>20</v>
      </c>
      <c r="J82" s="162" t="s">
        <v>122</v>
      </c>
      <c r="K82" s="5" t="s">
        <v>38</v>
      </c>
      <c r="L82" s="5" t="s">
        <v>38</v>
      </c>
      <c r="M82" s="5" t="s">
        <v>38</v>
      </c>
      <c r="N82" s="5" t="s">
        <v>38</v>
      </c>
      <c r="O82" s="5" t="s">
        <v>38</v>
      </c>
      <c r="P82" s="5" t="s">
        <v>38</v>
      </c>
      <c r="Q82" s="5" t="s">
        <v>38</v>
      </c>
      <c r="R82" s="5" t="s">
        <v>38</v>
      </c>
      <c r="S82" s="5" t="s">
        <v>38</v>
      </c>
      <c r="T82" s="5" t="s">
        <v>600</v>
      </c>
      <c r="U82" s="5" t="s">
        <v>600</v>
      </c>
      <c r="V82" s="5" t="s">
        <v>600</v>
      </c>
      <c r="W82" s="162" t="s">
        <v>455</v>
      </c>
      <c r="X82" s="162" t="s">
        <v>456</v>
      </c>
      <c r="Y82" s="162" t="s">
        <v>457</v>
      </c>
      <c r="Z82" s="171" t="s">
        <v>570</v>
      </c>
      <c r="AA82" s="172"/>
      <c r="AB82" s="172"/>
      <c r="AC82" s="172"/>
      <c r="AD82" s="173"/>
    </row>
    <row r="83" spans="3:30" x14ac:dyDescent="0.15">
      <c r="C83" s="163"/>
      <c r="D83" s="166"/>
      <c r="E83" s="169"/>
      <c r="F83" s="169"/>
      <c r="G83" s="166"/>
      <c r="H83" s="166"/>
      <c r="I83" s="166"/>
      <c r="J83" s="166"/>
      <c r="K83" s="5" t="s">
        <v>36</v>
      </c>
      <c r="L83" s="5" t="s">
        <v>451</v>
      </c>
      <c r="M83" s="5" t="s">
        <v>41</v>
      </c>
      <c r="N83" s="5" t="s">
        <v>42</v>
      </c>
      <c r="O83" s="5" t="s">
        <v>452</v>
      </c>
      <c r="P83" s="5" t="s">
        <v>453</v>
      </c>
      <c r="Q83" s="5" t="s">
        <v>454</v>
      </c>
      <c r="R83" s="5" t="s">
        <v>383</v>
      </c>
      <c r="S83" s="5" t="s">
        <v>129</v>
      </c>
      <c r="T83" s="5" t="s">
        <v>23</v>
      </c>
      <c r="U83" s="5" t="s">
        <v>24</v>
      </c>
      <c r="V83" s="5" t="s">
        <v>25</v>
      </c>
      <c r="W83" s="163"/>
      <c r="X83" s="163"/>
      <c r="Y83" s="163"/>
      <c r="Z83" s="174"/>
      <c r="AA83" s="175"/>
      <c r="AB83" s="175"/>
      <c r="AC83" s="175"/>
      <c r="AD83" s="176"/>
    </row>
    <row r="84" spans="3:30" x14ac:dyDescent="0.15">
      <c r="C84" s="164"/>
      <c r="D84" s="167"/>
      <c r="E84" s="170"/>
      <c r="F84" s="170"/>
      <c r="G84" s="167"/>
      <c r="H84" s="167"/>
      <c r="I84" s="167"/>
      <c r="J84" s="167"/>
      <c r="K84" s="5" t="s">
        <v>450</v>
      </c>
      <c r="L84" s="5" t="s">
        <v>450</v>
      </c>
      <c r="M84" s="5" t="s">
        <v>450</v>
      </c>
      <c r="N84" s="5" t="s">
        <v>450</v>
      </c>
      <c r="O84" s="5" t="s">
        <v>450</v>
      </c>
      <c r="P84" s="5" t="s">
        <v>450</v>
      </c>
      <c r="Q84" s="5" t="s">
        <v>450</v>
      </c>
      <c r="R84" s="5" t="s">
        <v>450</v>
      </c>
      <c r="S84" s="5" t="s">
        <v>450</v>
      </c>
      <c r="T84" s="5" t="s">
        <v>450</v>
      </c>
      <c r="U84" s="5" t="s">
        <v>450</v>
      </c>
      <c r="V84" s="5" t="s">
        <v>450</v>
      </c>
      <c r="W84" s="164"/>
      <c r="X84" s="164"/>
      <c r="Y84" s="164"/>
      <c r="Z84" s="177"/>
      <c r="AA84" s="178"/>
      <c r="AB84" s="178"/>
      <c r="AC84" s="178"/>
      <c r="AD84" s="179"/>
    </row>
    <row r="85" spans="3:30" ht="27" x14ac:dyDescent="0.15">
      <c r="C85" s="6"/>
      <c r="D85" s="6"/>
      <c r="E85" s="6"/>
      <c r="F85" s="6"/>
      <c r="G85" s="6"/>
      <c r="H85" s="6"/>
      <c r="I85" s="375" t="s">
        <v>26</v>
      </c>
      <c r="J85" s="375" t="s">
        <v>52</v>
      </c>
      <c r="K85" s="375" t="s">
        <v>555</v>
      </c>
      <c r="L85" s="375" t="s">
        <v>556</v>
      </c>
      <c r="M85" s="375" t="s">
        <v>557</v>
      </c>
      <c r="N85" s="375" t="s">
        <v>558</v>
      </c>
      <c r="O85" s="375" t="s">
        <v>559</v>
      </c>
      <c r="P85" s="375" t="s">
        <v>560</v>
      </c>
      <c r="Q85" s="375" t="s">
        <v>561</v>
      </c>
      <c r="R85" s="375" t="s">
        <v>562</v>
      </c>
      <c r="S85" s="375" t="s">
        <v>563</v>
      </c>
      <c r="T85" s="375" t="s">
        <v>564</v>
      </c>
      <c r="U85" s="375" t="s">
        <v>565</v>
      </c>
      <c r="V85" s="375" t="s">
        <v>566</v>
      </c>
      <c r="W85" s="376" t="s">
        <v>567</v>
      </c>
      <c r="X85" s="377" t="s">
        <v>568</v>
      </c>
      <c r="Y85" s="377" t="s">
        <v>569</v>
      </c>
      <c r="Z85" s="378" t="s">
        <v>14</v>
      </c>
      <c r="AA85" s="441" t="s">
        <v>571</v>
      </c>
      <c r="AB85" s="319"/>
      <c r="AC85" s="441" t="s">
        <v>572</v>
      </c>
      <c r="AD85" s="319"/>
    </row>
    <row r="86" spans="3:30" ht="14.25" thickBot="1" x14ac:dyDescent="0.2"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9"/>
      <c r="X86" s="6"/>
      <c r="Y86" s="6"/>
      <c r="Z86" s="6"/>
      <c r="AA86" s="6"/>
      <c r="AB86" s="6"/>
      <c r="AC86" s="6"/>
      <c r="AD86" s="6"/>
    </row>
    <row r="87" spans="3:30" ht="42.75" thickBot="1" x14ac:dyDescent="0.25">
      <c r="C87" s="88" t="s">
        <v>390</v>
      </c>
      <c r="D87" s="50" t="s">
        <v>391</v>
      </c>
      <c r="E87" s="38" t="s">
        <v>392</v>
      </c>
      <c r="F87" s="89" t="s">
        <v>393</v>
      </c>
      <c r="G87" s="89" t="s">
        <v>394</v>
      </c>
      <c r="H87" s="90" t="s">
        <v>395</v>
      </c>
      <c r="I87" s="384">
        <f t="shared" ref="I87:W87" si="79">+I14+I49</f>
        <v>0</v>
      </c>
      <c r="J87" s="384">
        <f t="shared" si="79"/>
        <v>100000</v>
      </c>
      <c r="K87" s="384">
        <f t="shared" si="79"/>
        <v>4500</v>
      </c>
      <c r="L87" s="384">
        <f t="shared" si="79"/>
        <v>5400</v>
      </c>
      <c r="M87" s="384">
        <f t="shared" si="79"/>
        <v>6300</v>
      </c>
      <c r="N87" s="384">
        <f t="shared" si="79"/>
        <v>9000</v>
      </c>
      <c r="O87" s="384">
        <f t="shared" si="79"/>
        <v>9900</v>
      </c>
      <c r="P87" s="384">
        <f t="shared" si="79"/>
        <v>9900</v>
      </c>
      <c r="Q87" s="384">
        <f t="shared" si="79"/>
        <v>9900</v>
      </c>
      <c r="R87" s="384">
        <f t="shared" si="79"/>
        <v>9900</v>
      </c>
      <c r="S87" s="384">
        <f t="shared" si="79"/>
        <v>12600</v>
      </c>
      <c r="T87" s="384">
        <f t="shared" si="79"/>
        <v>13500</v>
      </c>
      <c r="U87" s="384">
        <f t="shared" si="79"/>
        <v>9000</v>
      </c>
      <c r="V87" s="384">
        <f t="shared" si="79"/>
        <v>13500</v>
      </c>
      <c r="W87" s="385">
        <f t="shared" si="79"/>
        <v>113400</v>
      </c>
      <c r="X87" s="143">
        <f>IF(J87="","",+W87-J87)</f>
        <v>13400</v>
      </c>
      <c r="Y87" s="144">
        <f>IF(OR(J87=0,X87=""),"",ROUND(X87/J87,3))</f>
        <v>0.13400000000000001</v>
      </c>
      <c r="Z87" s="48"/>
      <c r="AA87" s="52" t="s">
        <v>371</v>
      </c>
      <c r="AB87" s="52" t="s">
        <v>371</v>
      </c>
      <c r="AC87" s="52" t="s">
        <v>371</v>
      </c>
      <c r="AD87" s="52" t="s">
        <v>371</v>
      </c>
    </row>
    <row r="88" spans="3:30" ht="21.75" thickBot="1" x14ac:dyDescent="0.25">
      <c r="C88" s="88" t="s">
        <v>396</v>
      </c>
      <c r="D88" s="37" t="s">
        <v>397</v>
      </c>
      <c r="E88" s="38" t="s">
        <v>392</v>
      </c>
      <c r="F88" s="89" t="s">
        <v>393</v>
      </c>
      <c r="G88" s="89" t="s">
        <v>394</v>
      </c>
      <c r="H88" s="89"/>
      <c r="I88" s="384">
        <f>'[1]1実績予想売上関係'!G70</f>
        <v>0</v>
      </c>
      <c r="J88" s="384">
        <f>+J15+J50</f>
        <v>8000</v>
      </c>
      <c r="K88" s="384">
        <f>+K15+K50</f>
        <v>360</v>
      </c>
      <c r="L88" s="384">
        <f t="shared" ref="L88:Q88" si="80">+L15+L50</f>
        <v>432</v>
      </c>
      <c r="M88" s="384">
        <f t="shared" si="80"/>
        <v>504</v>
      </c>
      <c r="N88" s="384">
        <f t="shared" si="80"/>
        <v>720</v>
      </c>
      <c r="O88" s="384">
        <f t="shared" si="80"/>
        <v>792</v>
      </c>
      <c r="P88" s="384">
        <f t="shared" si="80"/>
        <v>792</v>
      </c>
      <c r="Q88" s="384">
        <f t="shared" si="80"/>
        <v>792</v>
      </c>
      <c r="R88" s="384">
        <f>+R15+R50</f>
        <v>792</v>
      </c>
      <c r="S88" s="384">
        <f>+S15+S50</f>
        <v>1008</v>
      </c>
      <c r="T88" s="384">
        <f>+T15+T50</f>
        <v>1080</v>
      </c>
      <c r="U88" s="384">
        <f>+U15+U50</f>
        <v>720</v>
      </c>
      <c r="V88" s="384">
        <f>+V15+V50</f>
        <v>1080</v>
      </c>
      <c r="W88" s="379">
        <f>SUM(K88:V88)</f>
        <v>9072</v>
      </c>
      <c r="X88" s="141">
        <f>IF(J88="","",+W88-J88)</f>
        <v>1072</v>
      </c>
      <c r="Y88" s="142">
        <f>IF(OR(J88=0,X88=""),"",ROUND(X88/J88,3))</f>
        <v>0.13400000000000001</v>
      </c>
      <c r="Z88" s="40"/>
      <c r="AA88" s="52" t="s">
        <v>371</v>
      </c>
      <c r="AB88" s="52" t="s">
        <v>371</v>
      </c>
      <c r="AC88" s="52" t="s">
        <v>371</v>
      </c>
      <c r="AD88" s="52" t="s">
        <v>371</v>
      </c>
    </row>
    <row r="89" spans="3:30" ht="21.75" thickBot="1" x14ac:dyDescent="0.25">
      <c r="C89" s="88" t="s">
        <v>398</v>
      </c>
      <c r="D89" s="37" t="s">
        <v>399</v>
      </c>
      <c r="E89" s="38" t="s">
        <v>392</v>
      </c>
      <c r="F89" s="89" t="s">
        <v>393</v>
      </c>
      <c r="G89" s="89" t="s">
        <v>394</v>
      </c>
      <c r="H89" s="89"/>
      <c r="I89" s="384">
        <f>SUM(I87:I88)</f>
        <v>0</v>
      </c>
      <c r="J89" s="384">
        <f t="shared" ref="J89:W89" si="81">SUM(J87:J88)</f>
        <v>108000</v>
      </c>
      <c r="K89" s="384">
        <f t="shared" si="81"/>
        <v>4860</v>
      </c>
      <c r="L89" s="384">
        <f t="shared" ref="L89:Q89" si="82">SUM(L87:L88)</f>
        <v>5832</v>
      </c>
      <c r="M89" s="384">
        <f t="shared" si="82"/>
        <v>6804</v>
      </c>
      <c r="N89" s="384">
        <f t="shared" si="82"/>
        <v>9720</v>
      </c>
      <c r="O89" s="384">
        <f t="shared" si="82"/>
        <v>10692</v>
      </c>
      <c r="P89" s="384">
        <f t="shared" si="82"/>
        <v>10692</v>
      </c>
      <c r="Q89" s="384">
        <f t="shared" si="82"/>
        <v>10692</v>
      </c>
      <c r="R89" s="434">
        <f t="shared" si="81"/>
        <v>10692</v>
      </c>
      <c r="S89" s="384">
        <f t="shared" si="81"/>
        <v>13608</v>
      </c>
      <c r="T89" s="384">
        <f t="shared" si="81"/>
        <v>14580</v>
      </c>
      <c r="U89" s="384">
        <f t="shared" si="81"/>
        <v>9720</v>
      </c>
      <c r="V89" s="384">
        <f t="shared" si="81"/>
        <v>14580</v>
      </c>
      <c r="W89" s="384">
        <f t="shared" si="81"/>
        <v>122472</v>
      </c>
      <c r="X89" s="380"/>
      <c r="Y89" s="386"/>
      <c r="Z89" s="40"/>
      <c r="AA89" s="41"/>
      <c r="AB89" s="44"/>
      <c r="AC89" s="45"/>
      <c r="AD89" s="43"/>
    </row>
    <row r="90" spans="3:30" ht="21.75" thickBot="1" x14ac:dyDescent="0.25">
      <c r="C90" s="88" t="s">
        <v>400</v>
      </c>
      <c r="D90" s="122" t="s">
        <v>401</v>
      </c>
      <c r="E90" s="38" t="s">
        <v>392</v>
      </c>
      <c r="F90" s="89" t="s">
        <v>393</v>
      </c>
      <c r="G90" s="89" t="s">
        <v>402</v>
      </c>
      <c r="H90" s="89"/>
      <c r="I90" s="384">
        <f>+I89</f>
        <v>0</v>
      </c>
      <c r="J90" s="384">
        <f t="shared" ref="J90:W91" si="83">+J89</f>
        <v>108000</v>
      </c>
      <c r="K90" s="384">
        <f t="shared" si="83"/>
        <v>4860</v>
      </c>
      <c r="L90" s="384">
        <f t="shared" ref="L90:Q90" si="84">+L89</f>
        <v>5832</v>
      </c>
      <c r="M90" s="384">
        <f t="shared" si="84"/>
        <v>6804</v>
      </c>
      <c r="N90" s="384">
        <f t="shared" si="84"/>
        <v>9720</v>
      </c>
      <c r="O90" s="384">
        <f t="shared" si="84"/>
        <v>10692</v>
      </c>
      <c r="P90" s="384">
        <f t="shared" si="84"/>
        <v>10692</v>
      </c>
      <c r="Q90" s="384">
        <f t="shared" si="84"/>
        <v>10692</v>
      </c>
      <c r="R90" s="56">
        <f t="shared" si="83"/>
        <v>10692</v>
      </c>
      <c r="S90" s="56">
        <f t="shared" si="83"/>
        <v>13608</v>
      </c>
      <c r="T90" s="56">
        <f t="shared" si="83"/>
        <v>14580</v>
      </c>
      <c r="U90" s="56">
        <f t="shared" si="83"/>
        <v>9720</v>
      </c>
      <c r="V90" s="56">
        <f t="shared" si="83"/>
        <v>14580</v>
      </c>
      <c r="W90" s="56">
        <f>SUM(K90:V90)</f>
        <v>122472</v>
      </c>
      <c r="X90" s="141">
        <f>IF(J90="","",+W90-J90)</f>
        <v>14472</v>
      </c>
      <c r="Y90" s="142">
        <f>IF(OR(J90=0,X90=""),"",ROUND(X90/J90,3))</f>
        <v>0.13400000000000001</v>
      </c>
      <c r="Z90" s="40"/>
      <c r="AA90" s="52" t="s">
        <v>371</v>
      </c>
      <c r="AB90" s="52" t="s">
        <v>371</v>
      </c>
      <c r="AC90" s="52" t="s">
        <v>371</v>
      </c>
      <c r="AD90" s="52" t="s">
        <v>371</v>
      </c>
    </row>
    <row r="91" spans="3:30" ht="21.75" thickBot="1" x14ac:dyDescent="0.25">
      <c r="C91" s="88" t="s">
        <v>403</v>
      </c>
      <c r="D91" s="37" t="s">
        <v>404</v>
      </c>
      <c r="E91" s="38" t="s">
        <v>392</v>
      </c>
      <c r="F91" s="89" t="s">
        <v>393</v>
      </c>
      <c r="G91" s="89" t="s">
        <v>402</v>
      </c>
      <c r="H91" s="89"/>
      <c r="I91" s="384">
        <f>+I90</f>
        <v>0</v>
      </c>
      <c r="J91" s="384">
        <f t="shared" si="83"/>
        <v>108000</v>
      </c>
      <c r="K91" s="384">
        <f t="shared" si="83"/>
        <v>4860</v>
      </c>
      <c r="L91" s="384">
        <f t="shared" ref="L91:Q91" si="85">+L90</f>
        <v>5832</v>
      </c>
      <c r="M91" s="384">
        <f t="shared" si="85"/>
        <v>6804</v>
      </c>
      <c r="N91" s="384">
        <f t="shared" si="85"/>
        <v>9720</v>
      </c>
      <c r="O91" s="384">
        <f t="shared" si="85"/>
        <v>10692</v>
      </c>
      <c r="P91" s="384">
        <f t="shared" si="85"/>
        <v>10692</v>
      </c>
      <c r="Q91" s="384">
        <f t="shared" si="85"/>
        <v>10692</v>
      </c>
      <c r="R91" s="435">
        <f t="shared" si="83"/>
        <v>10692</v>
      </c>
      <c r="S91" s="384">
        <f t="shared" si="83"/>
        <v>13608</v>
      </c>
      <c r="T91" s="384">
        <f t="shared" si="83"/>
        <v>14580</v>
      </c>
      <c r="U91" s="384">
        <f t="shared" si="83"/>
        <v>9720</v>
      </c>
      <c r="V91" s="384">
        <f t="shared" si="83"/>
        <v>14580</v>
      </c>
      <c r="W91" s="384">
        <f t="shared" si="83"/>
        <v>122472</v>
      </c>
      <c r="X91" s="380"/>
      <c r="Y91" s="386"/>
      <c r="Z91" s="40"/>
      <c r="AA91" s="41"/>
      <c r="AB91" s="44"/>
      <c r="AC91" s="45"/>
      <c r="AD91" s="43"/>
    </row>
    <row r="92" spans="3:30" ht="21.75" thickBot="1" x14ac:dyDescent="0.25">
      <c r="C92" s="88"/>
      <c r="D92" s="37" t="s">
        <v>436</v>
      </c>
      <c r="E92" s="38" t="s">
        <v>392</v>
      </c>
      <c r="F92" s="89" t="s">
        <v>393</v>
      </c>
      <c r="G92" s="89"/>
      <c r="H92" s="89"/>
      <c r="I92" s="384">
        <f>+I89-I89</f>
        <v>0</v>
      </c>
      <c r="J92" s="384">
        <f t="shared" ref="J92:W92" si="86">+J89-J89</f>
        <v>0</v>
      </c>
      <c r="K92" s="384">
        <f t="shared" si="86"/>
        <v>0</v>
      </c>
      <c r="L92" s="384">
        <f t="shared" ref="L92:Q92" si="87">+L89-L89</f>
        <v>0</v>
      </c>
      <c r="M92" s="384">
        <f t="shared" si="87"/>
        <v>0</v>
      </c>
      <c r="N92" s="384">
        <f t="shared" si="87"/>
        <v>0</v>
      </c>
      <c r="O92" s="384">
        <f t="shared" si="87"/>
        <v>0</v>
      </c>
      <c r="P92" s="384">
        <f t="shared" si="87"/>
        <v>0</v>
      </c>
      <c r="Q92" s="384">
        <f t="shared" si="87"/>
        <v>0</v>
      </c>
      <c r="R92" s="384">
        <f t="shared" si="86"/>
        <v>0</v>
      </c>
      <c r="S92" s="384">
        <f t="shared" si="86"/>
        <v>0</v>
      </c>
      <c r="T92" s="384">
        <f t="shared" si="86"/>
        <v>0</v>
      </c>
      <c r="U92" s="384">
        <f t="shared" si="86"/>
        <v>0</v>
      </c>
      <c r="V92" s="384">
        <f t="shared" si="86"/>
        <v>0</v>
      </c>
      <c r="W92" s="384">
        <f t="shared" si="86"/>
        <v>0</v>
      </c>
      <c r="X92" s="380"/>
      <c r="Y92" s="386"/>
      <c r="Z92" s="40"/>
      <c r="AA92" s="41"/>
      <c r="AB92" s="44"/>
      <c r="AC92" s="45"/>
      <c r="AD92" s="43"/>
    </row>
    <row r="93" spans="3:30" ht="21.75" thickBot="1" x14ac:dyDescent="0.25">
      <c r="C93" s="88"/>
      <c r="D93" s="37" t="s">
        <v>437</v>
      </c>
      <c r="E93" s="38"/>
      <c r="F93" s="89"/>
      <c r="G93" s="89"/>
      <c r="H93" s="89"/>
      <c r="I93" s="384"/>
      <c r="J93" s="384"/>
      <c r="K93" s="384"/>
      <c r="L93" s="392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0"/>
      <c r="Y93" s="386"/>
      <c r="Z93" s="40"/>
      <c r="AA93" s="41"/>
      <c r="AB93" s="44"/>
      <c r="AC93" s="45"/>
      <c r="AD93" s="43"/>
    </row>
    <row r="94" spans="3:30" ht="21.75" thickBot="1" x14ac:dyDescent="0.25">
      <c r="C94" s="88"/>
      <c r="D94" s="122" t="s">
        <v>449</v>
      </c>
      <c r="E94" s="38"/>
      <c r="F94" s="89"/>
      <c r="G94" s="89"/>
      <c r="H94" s="89"/>
      <c r="I94" s="384"/>
      <c r="J94" s="384"/>
      <c r="K94" s="384"/>
      <c r="L94" s="392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135"/>
      <c r="Y94" s="136"/>
      <c r="Z94" s="40"/>
      <c r="AA94" s="41"/>
      <c r="AB94" s="44"/>
      <c r="AC94" s="45"/>
      <c r="AD94" s="43"/>
    </row>
    <row r="95" spans="3:30" ht="21.75" thickBot="1" x14ac:dyDescent="0.25">
      <c r="C95" s="88"/>
      <c r="D95" s="37" t="s">
        <v>438</v>
      </c>
      <c r="E95" s="38" t="s">
        <v>392</v>
      </c>
      <c r="F95" s="89" t="s">
        <v>393</v>
      </c>
      <c r="G95" s="89" t="s">
        <v>402</v>
      </c>
      <c r="H95" s="89"/>
      <c r="I95" s="384">
        <f t="shared" ref="I95:J98" si="88">+I22+I57</f>
        <v>0</v>
      </c>
      <c r="J95" s="384">
        <f t="shared" si="88"/>
        <v>0</v>
      </c>
      <c r="K95" s="384">
        <f t="shared" ref="K95:R95" si="89">+K22+K57</f>
        <v>3153</v>
      </c>
      <c r="L95" s="384">
        <f t="shared" si="89"/>
        <v>4860</v>
      </c>
      <c r="M95" s="384">
        <f t="shared" si="89"/>
        <v>5832</v>
      </c>
      <c r="N95" s="384">
        <f t="shared" si="89"/>
        <v>6804</v>
      </c>
      <c r="O95" s="384">
        <f t="shared" si="89"/>
        <v>9720</v>
      </c>
      <c r="P95" s="384">
        <f t="shared" si="89"/>
        <v>10692</v>
      </c>
      <c r="Q95" s="384">
        <f t="shared" si="89"/>
        <v>10692</v>
      </c>
      <c r="R95" s="384">
        <f t="shared" si="89"/>
        <v>10692</v>
      </c>
      <c r="S95" s="384">
        <f t="shared" ref="S95:V97" si="90">+S22+S57</f>
        <v>10692</v>
      </c>
      <c r="T95" s="384">
        <f t="shared" si="90"/>
        <v>13608</v>
      </c>
      <c r="U95" s="384">
        <f t="shared" si="90"/>
        <v>14580</v>
      </c>
      <c r="V95" s="384">
        <f t="shared" si="90"/>
        <v>9720</v>
      </c>
      <c r="W95" s="384">
        <f>+K95</f>
        <v>3153</v>
      </c>
      <c r="X95" s="380"/>
      <c r="Y95" s="386"/>
      <c r="Z95" s="40"/>
      <c r="AA95" s="41"/>
      <c r="AB95" s="44"/>
      <c r="AC95" s="45"/>
      <c r="AD95" s="43"/>
    </row>
    <row r="96" spans="3:30" ht="21.75" thickBot="1" x14ac:dyDescent="0.25">
      <c r="C96" s="88"/>
      <c r="D96" s="37" t="s">
        <v>439</v>
      </c>
      <c r="E96" s="38" t="s">
        <v>392</v>
      </c>
      <c r="F96" s="89" t="s">
        <v>393</v>
      </c>
      <c r="G96" s="89" t="s">
        <v>402</v>
      </c>
      <c r="H96" s="89"/>
      <c r="I96" s="384">
        <f t="shared" si="88"/>
        <v>0</v>
      </c>
      <c r="J96" s="384">
        <f t="shared" si="88"/>
        <v>0</v>
      </c>
      <c r="K96" s="384">
        <f t="shared" ref="K96:R96" si="91">+K23+K58</f>
        <v>5076</v>
      </c>
      <c r="L96" s="384">
        <f t="shared" si="91"/>
        <v>3153</v>
      </c>
      <c r="M96" s="384">
        <f t="shared" si="91"/>
        <v>0</v>
      </c>
      <c r="N96" s="384">
        <f t="shared" si="91"/>
        <v>0</v>
      </c>
      <c r="O96" s="384">
        <f t="shared" si="91"/>
        <v>0</v>
      </c>
      <c r="P96" s="384">
        <f t="shared" si="91"/>
        <v>0</v>
      </c>
      <c r="Q96" s="384">
        <f t="shared" si="91"/>
        <v>0</v>
      </c>
      <c r="R96" s="384">
        <f t="shared" si="91"/>
        <v>0</v>
      </c>
      <c r="S96" s="384">
        <f t="shared" si="90"/>
        <v>0</v>
      </c>
      <c r="T96" s="384">
        <f t="shared" si="90"/>
        <v>0</v>
      </c>
      <c r="U96" s="384">
        <f t="shared" si="90"/>
        <v>0</v>
      </c>
      <c r="V96" s="384">
        <f t="shared" si="90"/>
        <v>0</v>
      </c>
      <c r="W96" s="384">
        <f>+K96</f>
        <v>5076</v>
      </c>
      <c r="X96" s="380"/>
      <c r="Y96" s="386"/>
      <c r="Z96" s="40"/>
      <c r="AA96" s="41"/>
      <c r="AB96" s="44"/>
      <c r="AC96" s="45"/>
      <c r="AD96" s="43"/>
    </row>
    <row r="97" spans="3:30" ht="21.75" thickBot="1" x14ac:dyDescent="0.25">
      <c r="C97" s="88"/>
      <c r="D97" s="37" t="s">
        <v>440</v>
      </c>
      <c r="E97" s="38" t="s">
        <v>392</v>
      </c>
      <c r="F97" s="89" t="s">
        <v>393</v>
      </c>
      <c r="G97" s="89" t="s">
        <v>402</v>
      </c>
      <c r="H97" s="89"/>
      <c r="I97" s="384">
        <f t="shared" si="88"/>
        <v>0</v>
      </c>
      <c r="J97" s="384">
        <f t="shared" si="88"/>
        <v>0</v>
      </c>
      <c r="K97" s="384">
        <f t="shared" ref="K97:R98" si="92">+K24+K59</f>
        <v>0</v>
      </c>
      <c r="L97" s="384">
        <f t="shared" si="92"/>
        <v>0</v>
      </c>
      <c r="M97" s="384">
        <f t="shared" si="92"/>
        <v>0</v>
      </c>
      <c r="N97" s="384">
        <f t="shared" si="92"/>
        <v>0</v>
      </c>
      <c r="O97" s="384">
        <f t="shared" si="92"/>
        <v>0</v>
      </c>
      <c r="P97" s="384">
        <f t="shared" si="92"/>
        <v>0</v>
      </c>
      <c r="Q97" s="384">
        <f t="shared" si="92"/>
        <v>0</v>
      </c>
      <c r="R97" s="384">
        <f t="shared" si="92"/>
        <v>0</v>
      </c>
      <c r="S97" s="384">
        <f t="shared" si="90"/>
        <v>0</v>
      </c>
      <c r="T97" s="384">
        <f t="shared" si="90"/>
        <v>0</v>
      </c>
      <c r="U97" s="384">
        <f t="shared" si="90"/>
        <v>0</v>
      </c>
      <c r="V97" s="384">
        <f t="shared" si="90"/>
        <v>0</v>
      </c>
      <c r="W97" s="384">
        <f>+K54</f>
        <v>0</v>
      </c>
      <c r="X97" s="380"/>
      <c r="Y97" s="386"/>
      <c r="Z97" s="40"/>
      <c r="AA97" s="41"/>
      <c r="AB97" s="44"/>
      <c r="AC97" s="45"/>
      <c r="AD97" s="43"/>
    </row>
    <row r="98" spans="3:30" ht="21.75" thickBot="1" x14ac:dyDescent="0.25">
      <c r="C98" s="88"/>
      <c r="D98" s="122" t="s">
        <v>441</v>
      </c>
      <c r="E98" s="38" t="s">
        <v>392</v>
      </c>
      <c r="F98" s="89" t="s">
        <v>393</v>
      </c>
      <c r="G98" s="89" t="s">
        <v>402</v>
      </c>
      <c r="H98" s="89"/>
      <c r="I98" s="384">
        <f t="shared" si="88"/>
        <v>0</v>
      </c>
      <c r="J98" s="384">
        <f t="shared" si="88"/>
        <v>0</v>
      </c>
      <c r="K98" s="384">
        <f t="shared" si="92"/>
        <v>8229</v>
      </c>
      <c r="L98" s="384">
        <f t="shared" si="92"/>
        <v>8013</v>
      </c>
      <c r="M98" s="384">
        <f t="shared" si="92"/>
        <v>5832</v>
      </c>
      <c r="N98" s="384">
        <f t="shared" si="92"/>
        <v>6804</v>
      </c>
      <c r="O98" s="384">
        <f t="shared" si="92"/>
        <v>9720</v>
      </c>
      <c r="P98" s="384">
        <f t="shared" si="92"/>
        <v>10692</v>
      </c>
      <c r="Q98" s="384">
        <f t="shared" si="92"/>
        <v>10692</v>
      </c>
      <c r="R98" s="384">
        <f t="shared" si="92"/>
        <v>10692</v>
      </c>
      <c r="S98" s="391">
        <f>SUM(S95:S97)</f>
        <v>10692</v>
      </c>
      <c r="T98" s="391">
        <f t="shared" ref="T98:W98" si="93">SUM(T95:T97)</f>
        <v>13608</v>
      </c>
      <c r="U98" s="391">
        <f t="shared" si="93"/>
        <v>14580</v>
      </c>
      <c r="V98" s="391">
        <f t="shared" si="93"/>
        <v>9720</v>
      </c>
      <c r="W98" s="391">
        <f t="shared" si="93"/>
        <v>8229</v>
      </c>
      <c r="X98" s="141">
        <f>IF(J98="","",+W98-J98)</f>
        <v>8229</v>
      </c>
      <c r="Y98" s="142" t="str">
        <f>IF(OR(J98=0,X98=""),"",ROUND(X98/J98,3))</f>
        <v/>
      </c>
      <c r="Z98" s="40"/>
      <c r="AA98" s="41"/>
      <c r="AB98" s="44"/>
      <c r="AC98" s="45"/>
      <c r="AD98" s="43"/>
    </row>
    <row r="99" spans="3:30" ht="21.75" thickBot="1" x14ac:dyDescent="0.25">
      <c r="C99" s="88"/>
      <c r="D99" s="37"/>
      <c r="E99" s="107"/>
      <c r="F99" s="107"/>
      <c r="G99" s="107"/>
      <c r="H99" s="107"/>
      <c r="I99" s="107"/>
      <c r="J99" s="107"/>
      <c r="K99" s="89"/>
      <c r="L99" s="78"/>
      <c r="M99" s="78"/>
      <c r="N99" s="78"/>
      <c r="O99" s="78"/>
      <c r="P99" s="78"/>
      <c r="Q99" s="78"/>
      <c r="S99" s="435"/>
      <c r="T99" s="384"/>
      <c r="U99" s="384"/>
      <c r="V99" s="384"/>
      <c r="W99" s="384"/>
      <c r="X99" s="380"/>
      <c r="Y99" s="386"/>
      <c r="Z99" s="40"/>
      <c r="AA99" s="41"/>
      <c r="AB99" s="44"/>
      <c r="AC99" s="45"/>
      <c r="AD99" s="43"/>
    </row>
    <row r="100" spans="3:30" ht="21.75" thickBot="1" x14ac:dyDescent="0.25">
      <c r="C100" s="88"/>
      <c r="D100" s="150" t="s">
        <v>442</v>
      </c>
      <c r="E100" s="38" t="s">
        <v>392</v>
      </c>
      <c r="F100" s="89" t="s">
        <v>393</v>
      </c>
      <c r="G100" s="89" t="s">
        <v>394</v>
      </c>
      <c r="H100" s="89"/>
      <c r="I100" s="384">
        <f>+I27+I62</f>
        <v>0</v>
      </c>
      <c r="J100" s="384">
        <f>+J90-J106</f>
        <v>99771</v>
      </c>
      <c r="K100" s="384">
        <f>+K27+K62</f>
        <v>5076</v>
      </c>
      <c r="L100" s="384">
        <f t="shared" ref="L100:Q100" si="94">+L27+L62</f>
        <v>8013</v>
      </c>
      <c r="M100" s="384">
        <f t="shared" si="94"/>
        <v>5832</v>
      </c>
      <c r="N100" s="384">
        <f t="shared" si="94"/>
        <v>6804</v>
      </c>
      <c r="O100" s="384">
        <f t="shared" si="94"/>
        <v>9720</v>
      </c>
      <c r="P100" s="384">
        <f t="shared" si="94"/>
        <v>10692</v>
      </c>
      <c r="Q100" s="384">
        <f t="shared" si="94"/>
        <v>10692</v>
      </c>
      <c r="R100" s="384">
        <f t="shared" ref="R100" si="95">+R27+R62</f>
        <v>10692</v>
      </c>
      <c r="S100" s="384">
        <f>+S27+S62</f>
        <v>10692</v>
      </c>
      <c r="T100" s="56">
        <f>+T27+T62</f>
        <v>13608</v>
      </c>
      <c r="U100" s="56">
        <f>+U27+U62</f>
        <v>14580</v>
      </c>
      <c r="V100" s="56">
        <f>+V27+V62</f>
        <v>9720</v>
      </c>
      <c r="W100" s="56">
        <f>+W27+W62</f>
        <v>116121</v>
      </c>
      <c r="X100" s="141">
        <f>IF(J100="","",+W100-J100)</f>
        <v>16350</v>
      </c>
      <c r="Y100" s="142">
        <f>IF(OR(J100=0,X100=""),"",ROUND(X100/J100,3))</f>
        <v>0.16400000000000001</v>
      </c>
      <c r="Z100" s="40"/>
      <c r="AA100" s="52" t="s">
        <v>371</v>
      </c>
      <c r="AB100" s="52" t="s">
        <v>371</v>
      </c>
      <c r="AC100" s="52" t="s">
        <v>371</v>
      </c>
      <c r="AD100" s="52" t="s">
        <v>371</v>
      </c>
    </row>
    <row r="101" spans="3:30" ht="21.75" thickBot="1" x14ac:dyDescent="0.25">
      <c r="C101" s="88"/>
      <c r="D101" s="37" t="s">
        <v>443</v>
      </c>
      <c r="E101" s="38" t="s">
        <v>392</v>
      </c>
      <c r="F101" s="89" t="s">
        <v>393</v>
      </c>
      <c r="G101" s="89" t="s">
        <v>402</v>
      </c>
      <c r="H101" s="89"/>
      <c r="I101" s="384">
        <f>+I28+I63</f>
        <v>0</v>
      </c>
      <c r="J101" s="384">
        <f>+J100</f>
        <v>99771</v>
      </c>
      <c r="K101" s="384">
        <f>+K100</f>
        <v>5076</v>
      </c>
      <c r="L101" s="384">
        <f t="shared" ref="L101:R101" si="96">+L100</f>
        <v>8013</v>
      </c>
      <c r="M101" s="384">
        <f t="shared" si="96"/>
        <v>5832</v>
      </c>
      <c r="N101" s="384">
        <f t="shared" si="96"/>
        <v>6804</v>
      </c>
      <c r="O101" s="384">
        <f t="shared" si="96"/>
        <v>9720</v>
      </c>
      <c r="P101" s="384">
        <f t="shared" si="96"/>
        <v>10692</v>
      </c>
      <c r="Q101" s="384">
        <f t="shared" si="96"/>
        <v>10692</v>
      </c>
      <c r="R101" s="384">
        <f t="shared" si="96"/>
        <v>10692</v>
      </c>
      <c r="S101" s="384">
        <f t="shared" ref="S101:W101" si="97">+S100</f>
        <v>10692</v>
      </c>
      <c r="T101" s="384">
        <f t="shared" si="97"/>
        <v>13608</v>
      </c>
      <c r="U101" s="384">
        <f t="shared" si="97"/>
        <v>14580</v>
      </c>
      <c r="V101" s="384">
        <f t="shared" si="97"/>
        <v>9720</v>
      </c>
      <c r="W101" s="384">
        <f t="shared" si="97"/>
        <v>116121</v>
      </c>
      <c r="X101" s="380">
        <f>IF(I101="","",+W101-I101)</f>
        <v>116121</v>
      </c>
      <c r="Y101" s="386" t="str">
        <f>IF(OR(I101=0,X101=""),"",ROUND(X101/I101,3))</f>
        <v/>
      </c>
      <c r="Z101" s="40"/>
      <c r="AA101" s="52" t="s">
        <v>371</v>
      </c>
      <c r="AB101" s="52" t="s">
        <v>371</v>
      </c>
      <c r="AC101" s="52" t="s">
        <v>371</v>
      </c>
      <c r="AD101" s="52" t="s">
        <v>371</v>
      </c>
    </row>
    <row r="102" spans="3:30" ht="21.75" thickBot="1" x14ac:dyDescent="0.25">
      <c r="C102" s="88"/>
      <c r="D102" s="150" t="s">
        <v>444</v>
      </c>
      <c r="E102" s="38"/>
      <c r="F102" s="89"/>
      <c r="G102" s="89"/>
      <c r="H102" s="89"/>
      <c r="I102" s="384"/>
      <c r="J102" s="384"/>
      <c r="K102" s="435"/>
      <c r="L102" s="435"/>
      <c r="M102" s="435"/>
      <c r="N102" s="435"/>
      <c r="O102" s="435"/>
      <c r="P102" s="435"/>
      <c r="Q102" s="435"/>
      <c r="R102" s="435"/>
      <c r="S102" s="435"/>
      <c r="T102" s="384"/>
      <c r="U102" s="384"/>
      <c r="V102" s="384"/>
      <c r="W102" s="384"/>
      <c r="X102" s="107"/>
      <c r="Y102" s="107"/>
      <c r="Z102" s="40"/>
      <c r="AA102" s="41"/>
      <c r="AB102" s="44"/>
      <c r="AC102" s="45"/>
      <c r="AD102" s="43"/>
    </row>
    <row r="103" spans="3:30" ht="21.75" thickBot="1" x14ac:dyDescent="0.25">
      <c r="C103" s="88"/>
      <c r="D103" s="37" t="s">
        <v>445</v>
      </c>
      <c r="E103" s="38" t="s">
        <v>392</v>
      </c>
      <c r="F103" s="89" t="s">
        <v>393</v>
      </c>
      <c r="G103" s="89" t="s">
        <v>402</v>
      </c>
      <c r="H103" s="89"/>
      <c r="I103" s="384">
        <f t="shared" ref="I103:J106" si="98">+I30+I65</f>
        <v>0</v>
      </c>
      <c r="J103" s="384">
        <f t="shared" si="98"/>
        <v>3153</v>
      </c>
      <c r="K103" s="384">
        <f t="shared" ref="K103:Q103" si="99">+K30+K65</f>
        <v>4860</v>
      </c>
      <c r="L103" s="384">
        <f t="shared" si="99"/>
        <v>5832</v>
      </c>
      <c r="M103" s="384">
        <f t="shared" si="99"/>
        <v>6804</v>
      </c>
      <c r="N103" s="384">
        <f t="shared" si="99"/>
        <v>9720</v>
      </c>
      <c r="O103" s="384">
        <f t="shared" si="99"/>
        <v>10692</v>
      </c>
      <c r="P103" s="384">
        <f t="shared" si="99"/>
        <v>10692</v>
      </c>
      <c r="Q103" s="384">
        <f t="shared" si="99"/>
        <v>10692</v>
      </c>
      <c r="R103" s="384">
        <f t="shared" ref="R103" si="100">+R30+R65</f>
        <v>10692</v>
      </c>
      <c r="S103" s="384">
        <f t="shared" ref="S103:W105" si="101">+S30+S65</f>
        <v>13608</v>
      </c>
      <c r="T103" s="384">
        <f t="shared" si="101"/>
        <v>14580</v>
      </c>
      <c r="U103" s="384">
        <f t="shared" si="101"/>
        <v>9720</v>
      </c>
      <c r="V103" s="384">
        <f t="shared" si="101"/>
        <v>14580</v>
      </c>
      <c r="W103" s="384">
        <f t="shared" si="101"/>
        <v>14580</v>
      </c>
      <c r="X103" s="380"/>
      <c r="Y103" s="386"/>
      <c r="Z103" s="40"/>
      <c r="AA103" s="41"/>
      <c r="AB103" s="44"/>
      <c r="AC103" s="45"/>
      <c r="AD103" s="43"/>
    </row>
    <row r="104" spans="3:30" ht="21.75" thickBot="1" x14ac:dyDescent="0.25">
      <c r="C104" s="88"/>
      <c r="D104" s="37" t="s">
        <v>438</v>
      </c>
      <c r="E104" s="38" t="s">
        <v>392</v>
      </c>
      <c r="F104" s="89" t="s">
        <v>393</v>
      </c>
      <c r="G104" s="89" t="s">
        <v>402</v>
      </c>
      <c r="H104" s="89"/>
      <c r="I104" s="384">
        <f t="shared" si="98"/>
        <v>0</v>
      </c>
      <c r="J104" s="384">
        <f t="shared" si="98"/>
        <v>5076</v>
      </c>
      <c r="K104" s="384">
        <f t="shared" ref="K104:Q104" si="102">+K31+K66</f>
        <v>3153</v>
      </c>
      <c r="L104" s="384">
        <f t="shared" si="102"/>
        <v>0</v>
      </c>
      <c r="M104" s="384">
        <f t="shared" si="102"/>
        <v>0</v>
      </c>
      <c r="N104" s="384">
        <f t="shared" si="102"/>
        <v>0</v>
      </c>
      <c r="O104" s="384">
        <f t="shared" si="102"/>
        <v>0</v>
      </c>
      <c r="P104" s="384">
        <f t="shared" si="102"/>
        <v>0</v>
      </c>
      <c r="Q104" s="384">
        <f t="shared" si="102"/>
        <v>0</v>
      </c>
      <c r="R104" s="384">
        <f t="shared" ref="R104" si="103">+R31+R66</f>
        <v>0</v>
      </c>
      <c r="S104" s="384">
        <f t="shared" si="101"/>
        <v>0</v>
      </c>
      <c r="T104" s="384">
        <f t="shared" si="101"/>
        <v>0</v>
      </c>
      <c r="U104" s="384">
        <f t="shared" si="101"/>
        <v>0</v>
      </c>
      <c r="V104" s="384">
        <f t="shared" si="101"/>
        <v>0</v>
      </c>
      <c r="W104" s="384">
        <f t="shared" si="101"/>
        <v>0</v>
      </c>
      <c r="X104" s="380"/>
      <c r="Y104" s="386"/>
      <c r="Z104" s="40"/>
      <c r="AA104" s="41"/>
      <c r="AB104" s="44"/>
      <c r="AC104" s="45"/>
      <c r="AD104" s="43"/>
    </row>
    <row r="105" spans="3:30" ht="21.75" thickBot="1" x14ac:dyDescent="0.25">
      <c r="C105" s="88"/>
      <c r="D105" s="37" t="s">
        <v>439</v>
      </c>
      <c r="E105" s="38" t="s">
        <v>392</v>
      </c>
      <c r="F105" s="89" t="s">
        <v>393</v>
      </c>
      <c r="G105" s="89" t="s">
        <v>402</v>
      </c>
      <c r="H105" s="89"/>
      <c r="I105" s="384">
        <f t="shared" si="98"/>
        <v>0</v>
      </c>
      <c r="J105" s="384">
        <f t="shared" si="98"/>
        <v>0</v>
      </c>
      <c r="K105" s="384">
        <f t="shared" ref="K105:Q105" si="104">+K32+K67</f>
        <v>0</v>
      </c>
      <c r="L105" s="384">
        <f t="shared" si="104"/>
        <v>0</v>
      </c>
      <c r="M105" s="384">
        <f t="shared" si="104"/>
        <v>0</v>
      </c>
      <c r="N105" s="384">
        <f t="shared" si="104"/>
        <v>0</v>
      </c>
      <c r="O105" s="384">
        <f t="shared" si="104"/>
        <v>0</v>
      </c>
      <c r="P105" s="384">
        <f t="shared" si="104"/>
        <v>0</v>
      </c>
      <c r="Q105" s="384">
        <f t="shared" si="104"/>
        <v>0</v>
      </c>
      <c r="R105" s="384">
        <f t="shared" ref="R105" si="105">+R32+R67</f>
        <v>0</v>
      </c>
      <c r="S105" s="384">
        <f t="shared" si="101"/>
        <v>0</v>
      </c>
      <c r="T105" s="384">
        <f t="shared" si="101"/>
        <v>0</v>
      </c>
      <c r="U105" s="384">
        <f t="shared" si="101"/>
        <v>0</v>
      </c>
      <c r="V105" s="384">
        <f t="shared" si="101"/>
        <v>0</v>
      </c>
      <c r="W105" s="384">
        <f t="shared" si="101"/>
        <v>0</v>
      </c>
      <c r="X105" s="380"/>
      <c r="Y105" s="386"/>
      <c r="Z105" s="40"/>
      <c r="AA105" s="41"/>
      <c r="AB105" s="44"/>
      <c r="AC105" s="45"/>
      <c r="AD105" s="43"/>
    </row>
    <row r="106" spans="3:30" ht="21" x14ac:dyDescent="0.2">
      <c r="C106" s="46"/>
      <c r="D106" s="125" t="s">
        <v>446</v>
      </c>
      <c r="E106" s="38" t="s">
        <v>392</v>
      </c>
      <c r="F106" s="89" t="s">
        <v>393</v>
      </c>
      <c r="G106" s="89" t="s">
        <v>402</v>
      </c>
      <c r="H106" s="89"/>
      <c r="I106" s="384">
        <f t="shared" si="98"/>
        <v>0</v>
      </c>
      <c r="J106" s="384">
        <f t="shared" si="98"/>
        <v>8229</v>
      </c>
      <c r="K106" s="384">
        <f t="shared" ref="K106:Q106" si="106">+K33+K68</f>
        <v>8013</v>
      </c>
      <c r="L106" s="384">
        <f t="shared" si="106"/>
        <v>5832</v>
      </c>
      <c r="M106" s="384">
        <f t="shared" si="106"/>
        <v>6804</v>
      </c>
      <c r="N106" s="384">
        <f t="shared" si="106"/>
        <v>9720</v>
      </c>
      <c r="O106" s="384">
        <f t="shared" si="106"/>
        <v>10692</v>
      </c>
      <c r="P106" s="384">
        <f t="shared" si="106"/>
        <v>10692</v>
      </c>
      <c r="Q106" s="384">
        <f t="shared" si="106"/>
        <v>10692</v>
      </c>
      <c r="R106" s="384">
        <f t="shared" ref="R106" si="107">+R33+R68</f>
        <v>10692</v>
      </c>
      <c r="S106" s="123">
        <f t="shared" ref="S106:W106" si="108">SUM(S103:S105)</f>
        <v>13608</v>
      </c>
      <c r="T106" s="123">
        <f t="shared" si="108"/>
        <v>14580</v>
      </c>
      <c r="U106" s="123">
        <f t="shared" si="108"/>
        <v>9720</v>
      </c>
      <c r="V106" s="123">
        <f t="shared" si="108"/>
        <v>14580</v>
      </c>
      <c r="W106" s="123">
        <f t="shared" si="108"/>
        <v>14580</v>
      </c>
      <c r="X106" s="141">
        <f>IF(J106="","",+W106-J106)</f>
        <v>6351</v>
      </c>
      <c r="Y106" s="142">
        <f>IF(OR(J106=0,X106=""),"",ROUND(X106/J106,3))</f>
        <v>0.77200000000000002</v>
      </c>
      <c r="Z106" s="40"/>
      <c r="AA106" s="52" t="s">
        <v>371</v>
      </c>
      <c r="AB106" s="52" t="s">
        <v>371</v>
      </c>
      <c r="AC106" s="52" t="s">
        <v>371</v>
      </c>
      <c r="AD106" s="52" t="s">
        <v>371</v>
      </c>
    </row>
    <row r="107" spans="3:30" ht="21" x14ac:dyDescent="0.2">
      <c r="D107" s="439" t="s">
        <v>436</v>
      </c>
      <c r="I107" s="139">
        <f t="shared" ref="I107:J107" si="109">+I90+I98-I100-I106</f>
        <v>0</v>
      </c>
      <c r="J107" s="139">
        <f t="shared" si="109"/>
        <v>0</v>
      </c>
      <c r="K107" s="139">
        <f t="shared" ref="K107" si="110">+K90+K98-K100-K106</f>
        <v>0</v>
      </c>
      <c r="L107" s="139">
        <f t="shared" ref="L107" si="111">+L90+L98-L100-L106</f>
        <v>0</v>
      </c>
      <c r="M107" s="139">
        <f t="shared" ref="M107" si="112">+M90+M98-M100-M106</f>
        <v>0</v>
      </c>
      <c r="N107" s="139">
        <f t="shared" ref="N107" si="113">+N90+N98-N100-N106</f>
        <v>0</v>
      </c>
      <c r="O107" s="139">
        <f t="shared" ref="O107" si="114">+O90+O98-O100-O106</f>
        <v>0</v>
      </c>
      <c r="P107" s="139">
        <f t="shared" ref="P107" si="115">+P90+P98-P100-P106</f>
        <v>0</v>
      </c>
      <c r="Q107" s="139">
        <f t="shared" ref="Q107" si="116">+Q90+Q98-Q100-Q106</f>
        <v>0</v>
      </c>
      <c r="R107" s="139">
        <f t="shared" ref="R107" si="117">+R90+R98-R100-R106</f>
        <v>0</v>
      </c>
      <c r="S107" s="139">
        <f t="shared" ref="S107" si="118">+S90+S98-S100-S106</f>
        <v>0</v>
      </c>
      <c r="T107" s="139">
        <f t="shared" ref="T107" si="119">+T90+T98-T100-T106</f>
        <v>0</v>
      </c>
      <c r="U107" s="139">
        <f t="shared" ref="U107" si="120">+U90+U98-U100-U106</f>
        <v>0</v>
      </c>
      <c r="V107" s="139">
        <f t="shared" ref="V107" si="121">+V90+V98-V100-V106</f>
        <v>0</v>
      </c>
      <c r="W107" s="139">
        <f t="shared" ref="W107" si="122">+W90+W98-W100-W106</f>
        <v>0</v>
      </c>
      <c r="X107" s="145">
        <f>+X90+X98-X100-X106</f>
        <v>0</v>
      </c>
    </row>
  </sheetData>
  <mergeCells count="154">
    <mergeCell ref="D80:I80"/>
    <mergeCell ref="Z80:AA80"/>
    <mergeCell ref="C82:C84"/>
    <mergeCell ref="D82:D84"/>
    <mergeCell ref="E82:E84"/>
    <mergeCell ref="F82:F84"/>
    <mergeCell ref="G82:G84"/>
    <mergeCell ref="H82:H84"/>
    <mergeCell ref="I82:I84"/>
    <mergeCell ref="J82:J84"/>
    <mergeCell ref="W82:W84"/>
    <mergeCell ref="X82:X84"/>
    <mergeCell ref="Y82:Y84"/>
    <mergeCell ref="E79:I79"/>
    <mergeCell ref="V79:Y79"/>
    <mergeCell ref="Z79:AA79"/>
    <mergeCell ref="W44:W46"/>
    <mergeCell ref="X44:X46"/>
    <mergeCell ref="Y44:Y46"/>
    <mergeCell ref="Z44:AD46"/>
    <mergeCell ref="AA49:AB49"/>
    <mergeCell ref="AC49:AD49"/>
    <mergeCell ref="AA50:AB50"/>
    <mergeCell ref="AC50:AD50"/>
    <mergeCell ref="AA51:AB51"/>
    <mergeCell ref="AC51:AD51"/>
    <mergeCell ref="AA52:AB52"/>
    <mergeCell ref="C75:AD75"/>
    <mergeCell ref="E77:I77"/>
    <mergeCell ref="Z77:AA77"/>
    <mergeCell ref="E78:I78"/>
    <mergeCell ref="Z78:AA78"/>
    <mergeCell ref="AA60:AB60"/>
    <mergeCell ref="AC60:AD60"/>
    <mergeCell ref="AA55:AB55"/>
    <mergeCell ref="AC55:AD55"/>
    <mergeCell ref="AA56:AB56"/>
    <mergeCell ref="D42:I42"/>
    <mergeCell ref="Z42:AA42"/>
    <mergeCell ref="C44:C46"/>
    <mergeCell ref="D44:D46"/>
    <mergeCell ref="E44:E46"/>
    <mergeCell ref="F44:F46"/>
    <mergeCell ref="G44:G46"/>
    <mergeCell ref="H44:H46"/>
    <mergeCell ref="I44:I46"/>
    <mergeCell ref="J44:J46"/>
    <mergeCell ref="E41:I41"/>
    <mergeCell ref="V41:Y41"/>
    <mergeCell ref="Z41:AA41"/>
    <mergeCell ref="W9:W11"/>
    <mergeCell ref="X9:X11"/>
    <mergeCell ref="Y9:Y11"/>
    <mergeCell ref="Z9:AD11"/>
    <mergeCell ref="AA14:AB14"/>
    <mergeCell ref="AC14:AD14"/>
    <mergeCell ref="AA15:AB15"/>
    <mergeCell ref="AC15:AD15"/>
    <mergeCell ref="AA16:AB16"/>
    <mergeCell ref="AC16:AD16"/>
    <mergeCell ref="AA17:AB17"/>
    <mergeCell ref="C37:AD37"/>
    <mergeCell ref="E39:I39"/>
    <mergeCell ref="Z39:AA39"/>
    <mergeCell ref="E40:I40"/>
    <mergeCell ref="Z40:AA40"/>
    <mergeCell ref="AA20:AB20"/>
    <mergeCell ref="AC20:AD20"/>
    <mergeCell ref="AA21:AB21"/>
    <mergeCell ref="AC21:AD21"/>
    <mergeCell ref="AA22:AB22"/>
    <mergeCell ref="E6:I6"/>
    <mergeCell ref="V6:Y6"/>
    <mergeCell ref="Z6:AA6"/>
    <mergeCell ref="AA12:AB12"/>
    <mergeCell ref="AC12:AD12"/>
    <mergeCell ref="C2:AD2"/>
    <mergeCell ref="E4:I4"/>
    <mergeCell ref="Z4:AA4"/>
    <mergeCell ref="E5:I5"/>
    <mergeCell ref="Z5:AA5"/>
    <mergeCell ref="D7:I7"/>
    <mergeCell ref="Z7:AA7"/>
    <mergeCell ref="C9:C11"/>
    <mergeCell ref="D9:D11"/>
    <mergeCell ref="E9:E11"/>
    <mergeCell ref="F9:F11"/>
    <mergeCell ref="G9:G11"/>
    <mergeCell ref="H9:H11"/>
    <mergeCell ref="I9:I11"/>
    <mergeCell ref="J9:J11"/>
    <mergeCell ref="AA32:AB32"/>
    <mergeCell ref="AC32:AD32"/>
    <mergeCell ref="AC22:AD22"/>
    <mergeCell ref="AC17:AD17"/>
    <mergeCell ref="AA18:AB18"/>
    <mergeCell ref="AC18:AD18"/>
    <mergeCell ref="AA19:AB19"/>
    <mergeCell ref="AC19:AD19"/>
    <mergeCell ref="AA26:AB26"/>
    <mergeCell ref="AC26:AD26"/>
    <mergeCell ref="AA27:AB27"/>
    <mergeCell ref="AC27:AD27"/>
    <mergeCell ref="AA29:AB29"/>
    <mergeCell ref="AC29:AD29"/>
    <mergeCell ref="AA30:AB30"/>
    <mergeCell ref="AC30:AD30"/>
    <mergeCell ref="AA31:AB31"/>
    <mergeCell ref="AC31:AD31"/>
    <mergeCell ref="AA28:AB28"/>
    <mergeCell ref="AC28:AD28"/>
    <mergeCell ref="AA23:AB23"/>
    <mergeCell ref="AC23:AD23"/>
    <mergeCell ref="AA24:AB24"/>
    <mergeCell ref="AC24:AD24"/>
    <mergeCell ref="AA25:AB25"/>
    <mergeCell ref="AC25:AD25"/>
    <mergeCell ref="AA54:AB54"/>
    <mergeCell ref="AC54:AD54"/>
    <mergeCell ref="AA85:AB85"/>
    <mergeCell ref="AC85:AD85"/>
    <mergeCell ref="AA67:AB67"/>
    <mergeCell ref="AC67:AD67"/>
    <mergeCell ref="AA68:AB68"/>
    <mergeCell ref="AC68:AD68"/>
    <mergeCell ref="AA33:AB33"/>
    <mergeCell ref="AC33:AD33"/>
    <mergeCell ref="AA47:AB47"/>
    <mergeCell ref="AC47:AD47"/>
    <mergeCell ref="Z82:AD84"/>
    <mergeCell ref="AA48:AB48"/>
    <mergeCell ref="AC48:AD48"/>
    <mergeCell ref="AA64:AB64"/>
    <mergeCell ref="AC64:AD64"/>
    <mergeCell ref="AA65:AB65"/>
    <mergeCell ref="AC65:AD65"/>
    <mergeCell ref="AA66:AB66"/>
    <mergeCell ref="AC66:AD66"/>
    <mergeCell ref="AA61:AB61"/>
    <mergeCell ref="AC61:AD61"/>
    <mergeCell ref="AA62:AB62"/>
    <mergeCell ref="AC62:AD62"/>
    <mergeCell ref="AA63:AB63"/>
    <mergeCell ref="AC63:AD63"/>
    <mergeCell ref="AA58:AB58"/>
    <mergeCell ref="AC58:AD58"/>
    <mergeCell ref="AA59:AB59"/>
    <mergeCell ref="AC59:AD59"/>
    <mergeCell ref="AC56:AD56"/>
    <mergeCell ref="AA57:AB57"/>
    <mergeCell ref="AC57:AD57"/>
    <mergeCell ref="AC52:AD52"/>
    <mergeCell ref="AA53:AB53"/>
    <mergeCell ref="AC53:AD53"/>
  </mergeCells>
  <phoneticPr fontId="2"/>
  <printOptions horizontalCentered="1"/>
  <pageMargins left="0.19685039370078741" right="0.19685039370078741" top="0.19685039370078741" bottom="0.19685039370078741" header="0.19685039370078741" footer="0.19685039370078741"/>
  <pageSetup paperSize="8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16" sqref="A16"/>
    </sheetView>
  </sheetViews>
  <sheetFormatPr defaultRowHeight="13.5" x14ac:dyDescent="0.15"/>
  <cols>
    <col min="1" max="1" width="5.125" customWidth="1"/>
    <col min="2" max="2" width="24.5" customWidth="1"/>
    <col min="3" max="3" width="5" customWidth="1"/>
    <col min="4" max="4" width="5.5" customWidth="1"/>
    <col min="5" max="5" width="4.5" customWidth="1"/>
    <col min="6" max="6" width="4" customWidth="1"/>
    <col min="8" max="8" width="9.625" bestFit="1" customWidth="1"/>
    <col min="21" max="21" width="13" customWidth="1"/>
    <col min="23" max="23" width="12.5" customWidth="1"/>
  </cols>
  <sheetData>
    <row r="1" spans="1:27" ht="24" x14ac:dyDescent="0.15">
      <c r="A1" s="155" t="s">
        <v>585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7" ht="14.25" thickBot="1" x14ac:dyDescent="0.2"/>
    <row r="3" spans="1:27" ht="14.25" thickBot="1" x14ac:dyDescent="0.2">
      <c r="H3" s="2"/>
      <c r="I3" s="2"/>
      <c r="J3" s="2"/>
      <c r="K3" s="2"/>
      <c r="L3" s="2"/>
      <c r="M3" s="2"/>
      <c r="N3" s="2"/>
      <c r="O3" s="2"/>
      <c r="P3" s="2"/>
      <c r="W3" s="105" t="s">
        <v>2</v>
      </c>
      <c r="X3" s="67" t="s">
        <v>621</v>
      </c>
      <c r="Y3" s="67" t="s">
        <v>624</v>
      </c>
      <c r="Z3" s="67" t="s">
        <v>625</v>
      </c>
    </row>
    <row r="4" spans="1:27" ht="14.25" thickBot="1" x14ac:dyDescent="0.2">
      <c r="H4" s="2"/>
      <c r="I4" s="2"/>
      <c r="J4" s="2"/>
      <c r="K4" s="2"/>
      <c r="L4" s="2"/>
      <c r="M4" s="2"/>
      <c r="N4" s="2"/>
      <c r="O4" s="2"/>
      <c r="P4" s="2"/>
      <c r="W4" s="105" t="s">
        <v>5</v>
      </c>
      <c r="X4" s="3" t="s">
        <v>6</v>
      </c>
      <c r="Y4" s="3" t="s">
        <v>7</v>
      </c>
      <c r="Z4" s="3" t="s">
        <v>0</v>
      </c>
    </row>
    <row r="5" spans="1:27" ht="14.25" thickBot="1" x14ac:dyDescent="0.2">
      <c r="B5" s="146" t="s">
        <v>458</v>
      </c>
      <c r="C5" s="326" t="s">
        <v>459</v>
      </c>
      <c r="D5" s="326"/>
      <c r="E5" s="326"/>
      <c r="F5" s="326"/>
      <c r="G5" s="326"/>
      <c r="H5" s="2"/>
      <c r="I5" s="2"/>
      <c r="J5" s="2"/>
      <c r="K5" s="2"/>
      <c r="L5" s="2"/>
      <c r="M5" s="2"/>
      <c r="N5" s="2"/>
      <c r="O5" s="2"/>
      <c r="P5" s="2"/>
      <c r="W5" s="105" t="s">
        <v>8</v>
      </c>
      <c r="X5" s="3" t="s">
        <v>9</v>
      </c>
      <c r="Y5" s="3" t="s">
        <v>9</v>
      </c>
      <c r="Z5" s="3" t="s">
        <v>9</v>
      </c>
    </row>
    <row r="6" spans="1:27" ht="14.25" thickBot="1" x14ac:dyDescent="0.2">
      <c r="B6" s="327" t="s">
        <v>10</v>
      </c>
      <c r="C6" s="328"/>
      <c r="D6" s="328"/>
      <c r="E6" s="328"/>
      <c r="F6" s="328"/>
      <c r="G6" s="329"/>
      <c r="H6" s="2"/>
      <c r="I6" s="2"/>
      <c r="J6" s="2"/>
      <c r="K6" s="2"/>
      <c r="L6" s="2"/>
      <c r="M6" s="2"/>
      <c r="N6" s="2"/>
      <c r="O6" s="2"/>
      <c r="P6" s="2"/>
      <c r="W6" s="105" t="s">
        <v>11</v>
      </c>
      <c r="X6" s="3" t="s">
        <v>12</v>
      </c>
      <c r="Y6" s="3" t="s">
        <v>12</v>
      </c>
      <c r="Z6" s="3" t="s">
        <v>12</v>
      </c>
    </row>
    <row r="8" spans="1:27" x14ac:dyDescent="0.15">
      <c r="A8" s="162" t="s">
        <v>14</v>
      </c>
      <c r="B8" s="165" t="s">
        <v>15</v>
      </c>
      <c r="C8" s="168" t="s">
        <v>16</v>
      </c>
      <c r="D8" s="168" t="s">
        <v>17</v>
      </c>
      <c r="E8" s="162" t="s">
        <v>18</v>
      </c>
      <c r="F8" s="162" t="s">
        <v>19</v>
      </c>
      <c r="G8" s="162" t="s">
        <v>20</v>
      </c>
      <c r="H8" s="162" t="s">
        <v>122</v>
      </c>
      <c r="I8" s="5" t="s">
        <v>38</v>
      </c>
      <c r="J8" s="5" t="s">
        <v>38</v>
      </c>
      <c r="K8" s="5" t="s">
        <v>38</v>
      </c>
      <c r="L8" s="5" t="s">
        <v>38</v>
      </c>
      <c r="M8" s="5" t="s">
        <v>38</v>
      </c>
      <c r="N8" s="5" t="s">
        <v>38</v>
      </c>
      <c r="O8" s="5" t="s">
        <v>38</v>
      </c>
      <c r="P8" s="5" t="s">
        <v>38</v>
      </c>
      <c r="Q8" s="5" t="s">
        <v>38</v>
      </c>
      <c r="R8" s="5" t="s">
        <v>600</v>
      </c>
      <c r="S8" s="5" t="s">
        <v>600</v>
      </c>
      <c r="T8" s="5" t="s">
        <v>600</v>
      </c>
      <c r="U8" s="162" t="s">
        <v>455</v>
      </c>
      <c r="V8" s="162" t="s">
        <v>456</v>
      </c>
      <c r="W8" s="162" t="s">
        <v>457</v>
      </c>
      <c r="X8" s="172" t="s">
        <v>587</v>
      </c>
      <c r="Y8" s="172"/>
      <c r="Z8" s="172"/>
      <c r="AA8" s="173"/>
    </row>
    <row r="9" spans="1:27" x14ac:dyDescent="0.15">
      <c r="A9" s="163"/>
      <c r="B9" s="166"/>
      <c r="C9" s="169"/>
      <c r="D9" s="169"/>
      <c r="E9" s="166"/>
      <c r="F9" s="166"/>
      <c r="G9" s="166"/>
      <c r="H9" s="166"/>
      <c r="I9" s="5" t="s">
        <v>36</v>
      </c>
      <c r="J9" s="5" t="s">
        <v>451</v>
      </c>
      <c r="K9" s="5" t="s">
        <v>41</v>
      </c>
      <c r="L9" s="5" t="s">
        <v>42</v>
      </c>
      <c r="M9" s="5" t="s">
        <v>452</v>
      </c>
      <c r="N9" s="5" t="s">
        <v>453</v>
      </c>
      <c r="O9" s="5" t="s">
        <v>454</v>
      </c>
      <c r="P9" s="5" t="s">
        <v>383</v>
      </c>
      <c r="Q9" s="5" t="s">
        <v>129</v>
      </c>
      <c r="R9" s="5" t="s">
        <v>23</v>
      </c>
      <c r="S9" s="5" t="s">
        <v>24</v>
      </c>
      <c r="T9" s="5" t="s">
        <v>25</v>
      </c>
      <c r="U9" s="163"/>
      <c r="V9" s="163"/>
      <c r="W9" s="163"/>
      <c r="X9" s="175"/>
      <c r="Y9" s="175"/>
      <c r="Z9" s="175"/>
      <c r="AA9" s="176"/>
    </row>
    <row r="10" spans="1:27" x14ac:dyDescent="0.15">
      <c r="A10" s="164"/>
      <c r="B10" s="167"/>
      <c r="C10" s="170"/>
      <c r="D10" s="170"/>
      <c r="E10" s="167"/>
      <c r="F10" s="167"/>
      <c r="G10" s="167"/>
      <c r="H10" s="167"/>
      <c r="I10" s="5" t="s">
        <v>450</v>
      </c>
      <c r="J10" s="5" t="s">
        <v>450</v>
      </c>
      <c r="K10" s="5" t="s">
        <v>450</v>
      </c>
      <c r="L10" s="5" t="s">
        <v>450</v>
      </c>
      <c r="M10" s="5" t="s">
        <v>450</v>
      </c>
      <c r="N10" s="5" t="s">
        <v>450</v>
      </c>
      <c r="O10" s="5" t="s">
        <v>450</v>
      </c>
      <c r="P10" s="5" t="s">
        <v>450</v>
      </c>
      <c r="Q10" s="5" t="s">
        <v>450</v>
      </c>
      <c r="R10" s="5" t="s">
        <v>450</v>
      </c>
      <c r="S10" s="5" t="s">
        <v>450</v>
      </c>
      <c r="T10" s="5" t="s">
        <v>450</v>
      </c>
      <c r="U10" s="164"/>
      <c r="V10" s="164"/>
      <c r="W10" s="164"/>
      <c r="X10" s="178"/>
      <c r="Y10" s="178"/>
      <c r="Z10" s="178"/>
      <c r="AA10" s="179"/>
    </row>
    <row r="11" spans="1:27" ht="27" x14ac:dyDescent="0.15">
      <c r="A11" s="6"/>
      <c r="B11" s="6"/>
      <c r="C11" s="6"/>
      <c r="D11" s="6"/>
      <c r="E11" s="6"/>
      <c r="F11" s="6"/>
      <c r="G11" s="375" t="s">
        <v>26</v>
      </c>
      <c r="H11" s="375" t="s">
        <v>52</v>
      </c>
      <c r="I11" s="375" t="s">
        <v>555</v>
      </c>
      <c r="J11" s="375" t="s">
        <v>556</v>
      </c>
      <c r="K11" s="375" t="s">
        <v>557</v>
      </c>
      <c r="L11" s="375" t="s">
        <v>558</v>
      </c>
      <c r="M11" s="375" t="s">
        <v>559</v>
      </c>
      <c r="N11" s="375" t="s">
        <v>560</v>
      </c>
      <c r="O11" s="375" t="s">
        <v>561</v>
      </c>
      <c r="P11" s="375" t="s">
        <v>562</v>
      </c>
      <c r="Q11" s="375" t="s">
        <v>563</v>
      </c>
      <c r="R11" s="375" t="s">
        <v>564</v>
      </c>
      <c r="S11" s="375" t="s">
        <v>565</v>
      </c>
      <c r="T11" s="375" t="s">
        <v>566</v>
      </c>
      <c r="U11" s="376" t="s">
        <v>567</v>
      </c>
      <c r="V11" s="377" t="s">
        <v>568</v>
      </c>
      <c r="W11" s="377" t="s">
        <v>569</v>
      </c>
      <c r="X11" s="441" t="s">
        <v>571</v>
      </c>
      <c r="Y11" s="319"/>
      <c r="Z11" s="441" t="s">
        <v>572</v>
      </c>
      <c r="AA11" s="319"/>
    </row>
    <row r="12" spans="1:27" ht="14.25" thickBot="1" x14ac:dyDescent="0.2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9"/>
      <c r="V12" s="6"/>
      <c r="W12" s="6"/>
      <c r="X12" s="208"/>
      <c r="Y12" s="210"/>
      <c r="Z12" s="208"/>
      <c r="AA12" s="210"/>
    </row>
    <row r="13" spans="1:27" ht="42.75" thickBot="1" x14ac:dyDescent="0.25">
      <c r="A13" s="147" t="s">
        <v>28</v>
      </c>
      <c r="B13" s="115" t="s">
        <v>586</v>
      </c>
      <c r="C13" s="148" t="s">
        <v>77</v>
      </c>
      <c r="D13" s="116" t="s">
        <v>78</v>
      </c>
      <c r="E13" s="116" t="s">
        <v>80</v>
      </c>
      <c r="F13" s="149" t="s">
        <v>395</v>
      </c>
      <c r="G13" s="443"/>
      <c r="H13" s="443">
        <f>⑦当期実績予想売上代金回収関係!Q97</f>
        <v>99771</v>
      </c>
      <c r="I13" s="384">
        <f>⑧次期売上代金回収計画!K100</f>
        <v>5076</v>
      </c>
      <c r="J13" s="384">
        <f>⑧次期売上代金回収計画!L100</f>
        <v>8013</v>
      </c>
      <c r="K13" s="384">
        <f>⑧次期売上代金回収計画!M100</f>
        <v>5832</v>
      </c>
      <c r="L13" s="384">
        <f>⑧次期売上代金回収計画!N100</f>
        <v>6804</v>
      </c>
      <c r="M13" s="384">
        <f>⑧次期売上代金回収計画!O100</f>
        <v>9720</v>
      </c>
      <c r="N13" s="384">
        <f>⑧次期売上代金回収計画!P100</f>
        <v>10692</v>
      </c>
      <c r="O13" s="384">
        <f>⑧次期売上代金回収計画!Q100</f>
        <v>10692</v>
      </c>
      <c r="P13" s="384">
        <f>⑧次期売上代金回収計画!R100</f>
        <v>10692</v>
      </c>
      <c r="Q13" s="384">
        <f>⑧次期売上代金回収計画!S100</f>
        <v>10692</v>
      </c>
      <c r="R13" s="384">
        <f>⑧次期売上代金回収計画!T100</f>
        <v>13608</v>
      </c>
      <c r="S13" s="384">
        <f>⑧次期売上代金回収計画!U100</f>
        <v>14580</v>
      </c>
      <c r="T13" s="384">
        <f>⑧次期売上代金回収計画!V100</f>
        <v>9720</v>
      </c>
      <c r="U13" s="385">
        <f>SUM(I13:T13)</f>
        <v>116121</v>
      </c>
      <c r="V13" s="143">
        <f>IF(H13="","",+U13-H13)</f>
        <v>16350</v>
      </c>
      <c r="W13" s="144">
        <f>IF(OR(H13=0,V13=""),"",ROUND(V13/H13,3))</f>
        <v>0.16400000000000001</v>
      </c>
      <c r="X13" s="324" t="s">
        <v>9</v>
      </c>
      <c r="Y13" s="325"/>
      <c r="Z13" s="324" t="s">
        <v>9</v>
      </c>
      <c r="AA13" s="325"/>
    </row>
  </sheetData>
  <mergeCells count="21">
    <mergeCell ref="H8:H10"/>
    <mergeCell ref="A1:AA1"/>
    <mergeCell ref="C5:G5"/>
    <mergeCell ref="B6:G6"/>
    <mergeCell ref="A8:A10"/>
    <mergeCell ref="B8:B10"/>
    <mergeCell ref="C8:C10"/>
    <mergeCell ref="D8:D10"/>
    <mergeCell ref="E8:E10"/>
    <mergeCell ref="F8:F10"/>
    <mergeCell ref="G8:G10"/>
    <mergeCell ref="X13:Y13"/>
    <mergeCell ref="Z13:AA13"/>
    <mergeCell ref="X12:Y12"/>
    <mergeCell ref="Z12:AA12"/>
    <mergeCell ref="U8:U10"/>
    <mergeCell ref="V8:V10"/>
    <mergeCell ref="W8:W10"/>
    <mergeCell ref="X8:AA10"/>
    <mergeCell ref="X11:Y11"/>
    <mergeCell ref="Z11:AA11"/>
  </mergeCells>
  <phoneticPr fontId="2"/>
  <printOptions horizontalCentered="1"/>
  <pageMargins left="0.2" right="0.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①当期実績予想売上高</vt:lpstr>
      <vt:lpstr>②予算編成方針売上高</vt:lpstr>
      <vt:lpstr>③次期予算売上高</vt:lpstr>
      <vt:lpstr>④予算損益計算書</vt:lpstr>
      <vt:lpstr>⑤次期予算消費税等計画書</vt:lpstr>
      <vt:lpstr>⑥次期商品仕入兼在庫計画書</vt:lpstr>
      <vt:lpstr>⑦当期実績予想売上代金回収関係</vt:lpstr>
      <vt:lpstr>⑧次期売上代金回収計画</vt:lpstr>
      <vt:lpstr>⑨月次資金計画書</vt:lpstr>
      <vt:lpstr>⑩予算比較貸借対照表</vt:lpstr>
      <vt:lpstr>⑪予算ＣＦ</vt:lpstr>
      <vt:lpstr>①当期実績予想売上高!Print_Area</vt:lpstr>
      <vt:lpstr>②予算編成方針売上高!Print_Area</vt:lpstr>
      <vt:lpstr>③次期予算売上高!Print_Area</vt:lpstr>
      <vt:lpstr>④予算損益計算書!Print_Area</vt:lpstr>
      <vt:lpstr>⑤次期予算消費税等計画書!Print_Area</vt:lpstr>
      <vt:lpstr>⑧次期売上代金回収計画!Print_Area</vt:lpstr>
      <vt:lpstr>⑨月次資金計画書!Print_Area</vt:lpstr>
      <vt:lpstr>⑩予算比較貸借対照表!Print_Area</vt:lpstr>
      <vt:lpstr>⑪予算ＣＦ!Print_Area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kobama</dc:creator>
  <cp:lastModifiedBy>3cc</cp:lastModifiedBy>
  <cp:lastPrinted>2016-07-10T13:25:09Z</cp:lastPrinted>
  <dcterms:created xsi:type="dcterms:W3CDTF">2016-05-20T05:42:01Z</dcterms:created>
  <dcterms:modified xsi:type="dcterms:W3CDTF">2016-07-14T04:24:41Z</dcterms:modified>
</cp:coreProperties>
</file>