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170" windowHeight="7320" activeTab="4"/>
  </bookViews>
  <sheets>
    <sheet name="当期実績予想売上高" sheetId="2" r:id="rId1"/>
    <sheet name="予算編成方針売上高" sheetId="3" r:id="rId2"/>
    <sheet name="次期予算売上高" sheetId="1" r:id="rId3"/>
    <sheet name="予算損益計算書" sheetId="4" r:id="rId4"/>
    <sheet name="次期予算消費税等計画書" sheetId="5" r:id="rId5"/>
  </sheets>
  <externalReferences>
    <externalReference r:id="rId6"/>
  </externalReferences>
  <definedNames>
    <definedName name="_xlnm.Print_Area" localSheetId="4">次期予算消費税等計画書!$A$2:$Z$32</definedName>
    <definedName name="_xlnm.Print_Area" localSheetId="2">次期予算売上高!$C$2:$AB$53</definedName>
    <definedName name="_xlnm.Print_Area" localSheetId="0">当期実績予想売上高!$C$2:$X$56</definedName>
    <definedName name="_xlnm.Print_Area" localSheetId="3">予算損益計算書!$B$2:$K$15</definedName>
    <definedName name="_xlnm.Print_Area" localSheetId="1">予算編成方針売上高!$D$2:$AD$94</definedName>
  </definedNames>
  <calcPr calcId="145621"/>
</workbook>
</file>

<file path=xl/calcChain.xml><?xml version="1.0" encoding="utf-8"?>
<calcChain xmlns="http://schemas.openxmlformats.org/spreadsheetml/2006/main">
  <c r="Z30" i="5" l="1"/>
  <c r="V30" i="5"/>
  <c r="W30" i="5" s="1"/>
  <c r="V28" i="5"/>
  <c r="W28" i="5" s="1"/>
  <c r="Z28" i="5"/>
  <c r="X28" i="5"/>
  <c r="Z22" i="5"/>
  <c r="X22" i="5"/>
  <c r="V14" i="5"/>
  <c r="N25" i="5"/>
  <c r="M25" i="5"/>
  <c r="L25" i="5"/>
  <c r="K25" i="5"/>
  <c r="J25" i="5"/>
  <c r="I25" i="5"/>
  <c r="O23" i="5"/>
  <c r="N23" i="5"/>
  <c r="M23" i="5"/>
  <c r="L23" i="5"/>
  <c r="K23" i="5"/>
  <c r="J23" i="5"/>
  <c r="I23" i="5"/>
  <c r="X23" i="5" s="1"/>
  <c r="N20" i="5"/>
  <c r="N26" i="5" s="1"/>
  <c r="M20" i="5"/>
  <c r="M26" i="5" s="1"/>
  <c r="L20" i="5"/>
  <c r="L26" i="5" s="1"/>
  <c r="K20" i="5"/>
  <c r="K26" i="5" s="1"/>
  <c r="J20" i="5"/>
  <c r="J26" i="5" s="1"/>
  <c r="I20" i="5"/>
  <c r="X30" i="5" l="1"/>
  <c r="Y30" i="5"/>
  <c r="I26" i="5"/>
  <c r="Y28" i="5"/>
  <c r="Y31" i="1" l="1"/>
  <c r="X31" i="1"/>
  <c r="Z31" i="1" s="1"/>
  <c r="I34" i="1"/>
  <c r="I31" i="1"/>
  <c r="I17" i="1"/>
  <c r="I14" i="1"/>
  <c r="I48" i="1" s="1"/>
  <c r="I50" i="1" s="1"/>
  <c r="V85" i="3"/>
  <c r="Q90" i="3" s="1"/>
  <c r="K50" i="1" s="1"/>
  <c r="Q73" i="3"/>
  <c r="K82" i="3" s="1"/>
  <c r="L85" i="3" s="1"/>
  <c r="K87" i="3" s="1"/>
  <c r="U87" i="3" s="1"/>
  <c r="U90" i="3" s="1"/>
  <c r="K48" i="1" s="1"/>
  <c r="J71" i="3"/>
  <c r="J67" i="3"/>
  <c r="T64" i="3"/>
  <c r="T65" i="3" s="1"/>
  <c r="J63" i="3"/>
  <c r="M58" i="3"/>
  <c r="J58" i="3"/>
  <c r="T56" i="3"/>
  <c r="N56" i="3"/>
  <c r="M56" i="3"/>
  <c r="J56" i="3"/>
  <c r="X55" i="3"/>
  <c r="V55" i="3"/>
  <c r="R55" i="3"/>
  <c r="P55" i="3"/>
  <c r="M55" i="3"/>
  <c r="J55" i="3"/>
  <c r="V54" i="3"/>
  <c r="X54" i="3" s="1"/>
  <c r="R54" i="3"/>
  <c r="P54" i="3"/>
  <c r="M54" i="3"/>
  <c r="J54" i="3"/>
  <c r="M51" i="3"/>
  <c r="J51" i="3"/>
  <c r="X50" i="3"/>
  <c r="V50" i="3"/>
  <c r="R50" i="3"/>
  <c r="P50" i="3"/>
  <c r="M50" i="3"/>
  <c r="J50" i="3"/>
  <c r="X48" i="3"/>
  <c r="V48" i="3"/>
  <c r="R48" i="3"/>
  <c r="P48" i="3"/>
  <c r="M48" i="3"/>
  <c r="J48" i="3"/>
  <c r="M45" i="3"/>
  <c r="J45" i="3"/>
  <c r="V44" i="3"/>
  <c r="X44" i="3" s="1"/>
  <c r="R44" i="3"/>
  <c r="P44" i="3"/>
  <c r="M44" i="3"/>
  <c r="J44" i="3"/>
  <c r="X42" i="3"/>
  <c r="V42" i="3"/>
  <c r="R42" i="3"/>
  <c r="P42" i="3"/>
  <c r="M42" i="3"/>
  <c r="J42" i="3"/>
  <c r="M39" i="3"/>
  <c r="J39" i="3"/>
  <c r="T38" i="3"/>
  <c r="N38" i="3"/>
  <c r="M38" i="3"/>
  <c r="J38" i="3"/>
  <c r="V37" i="3"/>
  <c r="X37" i="3" s="1"/>
  <c r="R37" i="3"/>
  <c r="P37" i="3"/>
  <c r="M37" i="3"/>
  <c r="J37" i="3"/>
  <c r="V36" i="3"/>
  <c r="X36" i="3" s="1"/>
  <c r="R36" i="3"/>
  <c r="P36" i="3"/>
  <c r="M36" i="3"/>
  <c r="J36" i="3"/>
  <c r="V35" i="3"/>
  <c r="X35" i="3" s="1"/>
  <c r="R35" i="3"/>
  <c r="P35" i="3"/>
  <c r="M35" i="3"/>
  <c r="J35" i="3"/>
  <c r="X34" i="3"/>
  <c r="V34" i="3"/>
  <c r="R34" i="3"/>
  <c r="P34" i="3"/>
  <c r="M34" i="3"/>
  <c r="J34" i="3"/>
  <c r="V33" i="3"/>
  <c r="X33" i="3" s="1"/>
  <c r="R33" i="3"/>
  <c r="P33" i="3"/>
  <c r="M33" i="3"/>
  <c r="J33" i="3"/>
  <c r="V32" i="3"/>
  <c r="X32" i="3" s="1"/>
  <c r="R32" i="3"/>
  <c r="P32" i="3"/>
  <c r="M32" i="3"/>
  <c r="J32" i="3"/>
  <c r="V31" i="3"/>
  <c r="X31" i="3" s="1"/>
  <c r="R31" i="3"/>
  <c r="P31" i="3"/>
  <c r="M31" i="3"/>
  <c r="J31" i="3"/>
  <c r="X30" i="3"/>
  <c r="V30" i="3"/>
  <c r="R30" i="3"/>
  <c r="P30" i="3"/>
  <c r="M30" i="3"/>
  <c r="J30" i="3"/>
  <c r="V29" i="3"/>
  <c r="X29" i="3" s="1"/>
  <c r="R29" i="3"/>
  <c r="P29" i="3"/>
  <c r="M29" i="3"/>
  <c r="J29" i="3"/>
  <c r="V28" i="3"/>
  <c r="X28" i="3" s="1"/>
  <c r="R28" i="3"/>
  <c r="P28" i="3"/>
  <c r="M28" i="3"/>
  <c r="J28" i="3"/>
  <c r="V27" i="3"/>
  <c r="X27" i="3" s="1"/>
  <c r="R27" i="3"/>
  <c r="P27" i="3"/>
  <c r="M27" i="3"/>
  <c r="J27" i="3"/>
  <c r="X26" i="3"/>
  <c r="V26" i="3"/>
  <c r="R26" i="3"/>
  <c r="P26" i="3"/>
  <c r="M26" i="3"/>
  <c r="J26" i="3"/>
  <c r="V25" i="3"/>
  <c r="X25" i="3" s="1"/>
  <c r="R25" i="3"/>
  <c r="P25" i="3"/>
  <c r="M25" i="3"/>
  <c r="J25" i="3"/>
  <c r="V24" i="3"/>
  <c r="X24" i="3" s="1"/>
  <c r="R24" i="3"/>
  <c r="R38" i="3" s="1"/>
  <c r="P24" i="3"/>
  <c r="M24" i="3"/>
  <c r="J24" i="3"/>
  <c r="M21" i="3"/>
  <c r="J21" i="3"/>
  <c r="M20" i="3"/>
  <c r="J20" i="3"/>
  <c r="X19" i="3"/>
  <c r="V19" i="3"/>
  <c r="R19" i="3"/>
  <c r="P19" i="3"/>
  <c r="M19" i="3"/>
  <c r="J19" i="3"/>
  <c r="T18" i="3"/>
  <c r="V18" i="3" s="1"/>
  <c r="N18" i="3"/>
  <c r="N20" i="3" s="1"/>
  <c r="N21" i="3" s="1"/>
  <c r="M18" i="3"/>
  <c r="J18" i="3"/>
  <c r="V17" i="3"/>
  <c r="X17" i="3" s="1"/>
  <c r="R17" i="3"/>
  <c r="R18" i="3" s="1"/>
  <c r="R20" i="3" s="1"/>
  <c r="R67" i="3" s="1"/>
  <c r="P17" i="3"/>
  <c r="M17" i="3"/>
  <c r="J17" i="3"/>
  <c r="X16" i="3"/>
  <c r="V16" i="3"/>
  <c r="R16" i="3"/>
  <c r="P16" i="3"/>
  <c r="P18" i="3" s="1"/>
  <c r="P20" i="3" s="1"/>
  <c r="M16" i="3"/>
  <c r="J16" i="3"/>
  <c r="V14" i="3"/>
  <c r="X14" i="3" s="1"/>
  <c r="V13" i="3"/>
  <c r="X13" i="3" s="1"/>
  <c r="V11" i="3"/>
  <c r="X11" i="3" s="1"/>
  <c r="R11" i="3"/>
  <c r="P11" i="3"/>
  <c r="M11" i="3"/>
  <c r="J11" i="3"/>
  <c r="P38" i="3" l="1"/>
  <c r="V38" i="3"/>
  <c r="X38" i="3" s="1"/>
  <c r="V56" i="3"/>
  <c r="I49" i="1"/>
  <c r="N39" i="3"/>
  <c r="N22" i="3"/>
  <c r="P63" i="3"/>
  <c r="K93" i="3"/>
  <c r="K49" i="1" s="1"/>
  <c r="V67" i="3"/>
  <c r="X67" i="3" s="1"/>
  <c r="J74" i="3"/>
  <c r="X18" i="3"/>
  <c r="T20" i="3"/>
  <c r="X56" i="3"/>
  <c r="T21" i="3" l="1"/>
  <c r="V20" i="3"/>
  <c r="X20" i="3" s="1"/>
  <c r="P64" i="3"/>
  <c r="V63" i="3"/>
  <c r="X63" i="3" s="1"/>
  <c r="N40" i="3"/>
  <c r="N45" i="3"/>
  <c r="J72" i="3" l="1"/>
  <c r="J73" i="3" s="1"/>
  <c r="P65" i="3"/>
  <c r="X65" i="3" s="1"/>
  <c r="X64" i="3"/>
  <c r="T22" i="3"/>
  <c r="X22" i="3" s="1"/>
  <c r="T39" i="3"/>
  <c r="V21" i="3"/>
  <c r="X21" i="3" s="1"/>
  <c r="N46" i="3"/>
  <c r="N51" i="3"/>
  <c r="N58" i="3" l="1"/>
  <c r="N52" i="3"/>
  <c r="T40" i="3"/>
  <c r="X40" i="3" s="1"/>
  <c r="T45" i="3"/>
  <c r="V39" i="3"/>
  <c r="X39" i="3" s="1"/>
  <c r="T46" i="3" l="1"/>
  <c r="X46" i="3" s="1"/>
  <c r="T51" i="3"/>
  <c r="V45" i="3"/>
  <c r="X45" i="3" s="1"/>
  <c r="N59" i="3"/>
  <c r="T58" i="3" l="1"/>
  <c r="T52" i="3"/>
  <c r="X52" i="3" s="1"/>
  <c r="V51" i="3"/>
  <c r="X51" i="3" s="1"/>
  <c r="T59" i="3" l="1"/>
  <c r="X59" i="3" s="1"/>
  <c r="V58" i="3"/>
  <c r="X58" i="3" s="1"/>
  <c r="T25" i="5"/>
  <c r="S25" i="5"/>
  <c r="R25" i="5"/>
  <c r="Q25" i="5"/>
  <c r="P25" i="5"/>
  <c r="O25" i="5"/>
  <c r="H25" i="5"/>
  <c r="G25" i="5"/>
  <c r="T23" i="5"/>
  <c r="S23" i="5"/>
  <c r="R23" i="5"/>
  <c r="Q23" i="5"/>
  <c r="P23" i="5"/>
  <c r="H23" i="5"/>
  <c r="Z23" i="5" s="1"/>
  <c r="G23" i="5"/>
  <c r="U22" i="5"/>
  <c r="V22" i="5" s="1"/>
  <c r="T20" i="5"/>
  <c r="T26" i="5" s="1"/>
  <c r="S20" i="5"/>
  <c r="S26" i="5" s="1"/>
  <c r="R20" i="5"/>
  <c r="R26" i="5" s="1"/>
  <c r="Q20" i="5"/>
  <c r="Q26" i="5" s="1"/>
  <c r="P20" i="5"/>
  <c r="P26" i="5" s="1"/>
  <c r="O20" i="5"/>
  <c r="O26" i="5" s="1"/>
  <c r="H20" i="5"/>
  <c r="G20" i="5"/>
  <c r="U19" i="5"/>
  <c r="V19" i="5" s="1"/>
  <c r="G17" i="5"/>
  <c r="G16" i="5"/>
  <c r="K54" i="2"/>
  <c r="J54" i="2"/>
  <c r="I54" i="2"/>
  <c r="J52" i="2"/>
  <c r="N48" i="2"/>
  <c r="M48" i="2"/>
  <c r="L48" i="2"/>
  <c r="K48" i="2"/>
  <c r="K52" i="2" s="1"/>
  <c r="J48" i="2"/>
  <c r="I48" i="2"/>
  <c r="P34" i="2"/>
  <c r="Q34" i="2" s="1"/>
  <c r="N34" i="2"/>
  <c r="M34" i="2"/>
  <c r="L34" i="2"/>
  <c r="K32" i="2"/>
  <c r="J32" i="2"/>
  <c r="I32" i="2"/>
  <c r="I32" i="1" s="1"/>
  <c r="P31" i="2"/>
  <c r="Q31" i="2" s="1"/>
  <c r="O31" i="2"/>
  <c r="X23" i="2"/>
  <c r="P17" i="2"/>
  <c r="Q17" i="2" s="1"/>
  <c r="N17" i="2"/>
  <c r="M17" i="2"/>
  <c r="M54" i="2" s="1"/>
  <c r="L17" i="2"/>
  <c r="L54" i="2" s="1"/>
  <c r="L52" i="2" s="1"/>
  <c r="K15" i="2"/>
  <c r="J15" i="2"/>
  <c r="I15" i="2"/>
  <c r="P14" i="2"/>
  <c r="Q14" i="2" s="1"/>
  <c r="O14" i="2"/>
  <c r="J14" i="1" s="1"/>
  <c r="X6" i="2"/>
  <c r="P15" i="2" l="1"/>
  <c r="Q15" i="2" s="1"/>
  <c r="I15" i="1"/>
  <c r="J31" i="1"/>
  <c r="AA31" i="1" s="1"/>
  <c r="AB31" i="1" s="1"/>
  <c r="R31" i="2"/>
  <c r="S31" i="2" s="1"/>
  <c r="O34" i="2"/>
  <c r="O32" i="2" s="1"/>
  <c r="X19" i="5"/>
  <c r="W19" i="5"/>
  <c r="Y19" i="5"/>
  <c r="Z19" i="5" s="1"/>
  <c r="V23" i="5"/>
  <c r="R14" i="2"/>
  <c r="S14" i="2" s="1"/>
  <c r="G26" i="5"/>
  <c r="Y22" i="5"/>
  <c r="W22" i="5"/>
  <c r="J48" i="1"/>
  <c r="N54" i="2"/>
  <c r="N52" i="2" s="1"/>
  <c r="U25" i="5"/>
  <c r="U23" i="5"/>
  <c r="U20" i="5"/>
  <c r="V20" i="5" s="1"/>
  <c r="G32" i="5"/>
  <c r="U26" i="5"/>
  <c r="H26" i="5"/>
  <c r="O54" i="2"/>
  <c r="R54" i="2" s="1"/>
  <c r="S54" i="2" s="1"/>
  <c r="M52" i="2"/>
  <c r="I52" i="2"/>
  <c r="O48" i="2"/>
  <c r="P32" i="2"/>
  <c r="Q32" i="2" s="1"/>
  <c r="O17" i="2"/>
  <c r="R32" i="2" l="1"/>
  <c r="S32" i="2" s="1"/>
  <c r="J32" i="1"/>
  <c r="R17" i="2"/>
  <c r="S17" i="2" s="1"/>
  <c r="J17" i="1"/>
  <c r="Y23" i="5"/>
  <c r="W23" i="5"/>
  <c r="R34" i="2"/>
  <c r="S34" i="2" s="1"/>
  <c r="J34" i="1"/>
  <c r="Y20" i="5"/>
  <c r="Z20" i="5" s="1"/>
  <c r="W20" i="5"/>
  <c r="X20" i="5"/>
  <c r="V25" i="5"/>
  <c r="V26" i="5"/>
  <c r="H14" i="5"/>
  <c r="O52" i="2"/>
  <c r="R52" i="2" s="1"/>
  <c r="S52" i="2" s="1"/>
  <c r="R48" i="2"/>
  <c r="S48" i="2" s="1"/>
  <c r="P54" i="2"/>
  <c r="Q54" i="2" s="1"/>
  <c r="O15" i="2"/>
  <c r="P52" i="2"/>
  <c r="Q52" i="2" s="1"/>
  <c r="P48" i="2"/>
  <c r="Q48" i="2" s="1"/>
  <c r="J49" i="1" l="1"/>
  <c r="R15" i="2"/>
  <c r="S15" i="2" s="1"/>
  <c r="J15" i="1"/>
  <c r="H32" i="5"/>
  <c r="I14" i="5" s="1"/>
  <c r="Z14" i="5"/>
  <c r="Y14" i="5"/>
  <c r="W25" i="5"/>
  <c r="X25" i="5"/>
  <c r="Y25" i="5"/>
  <c r="Z25" i="5" s="1"/>
  <c r="Y26" i="5"/>
  <c r="Z26" i="5" s="1"/>
  <c r="W26" i="5"/>
  <c r="X26" i="5"/>
  <c r="J50" i="1" l="1"/>
  <c r="W14" i="5"/>
  <c r="X14" i="5"/>
  <c r="AA23" i="1"/>
  <c r="W48" i="1"/>
  <c r="V48" i="1"/>
  <c r="U48" i="1"/>
  <c r="T48" i="1"/>
  <c r="S48" i="1"/>
  <c r="R48" i="1"/>
  <c r="Q48" i="1"/>
  <c r="Q50" i="1" s="1"/>
  <c r="P48" i="1"/>
  <c r="O48" i="1"/>
  <c r="N48" i="1"/>
  <c r="M48" i="1"/>
  <c r="M50" i="1" s="1"/>
  <c r="L48" i="1"/>
  <c r="W34" i="1"/>
  <c r="V34" i="1"/>
  <c r="U34" i="1"/>
  <c r="T34" i="1"/>
  <c r="S34" i="1"/>
  <c r="R34" i="1"/>
  <c r="Q34" i="1"/>
  <c r="P34" i="1"/>
  <c r="O34" i="1"/>
  <c r="N34" i="1"/>
  <c r="M34" i="1"/>
  <c r="L34" i="1"/>
  <c r="X34" i="1" s="1"/>
  <c r="K34" i="1"/>
  <c r="T17" i="1"/>
  <c r="T49" i="1" s="1"/>
  <c r="R16" i="5" s="1"/>
  <c r="R17" i="5" s="1"/>
  <c r="S17" i="1"/>
  <c r="S49" i="1" s="1"/>
  <c r="Q16" i="5" s="1"/>
  <c r="Q17" i="5" s="1"/>
  <c r="R17" i="1"/>
  <c r="R49" i="1" s="1"/>
  <c r="P16" i="5" s="1"/>
  <c r="P17" i="5" s="1"/>
  <c r="Q17" i="1"/>
  <c r="Q49" i="1" s="1"/>
  <c r="O16" i="5" s="1"/>
  <c r="O17" i="5" s="1"/>
  <c r="P17" i="1"/>
  <c r="P49" i="1" s="1"/>
  <c r="N16" i="5" s="1"/>
  <c r="N17" i="5" s="1"/>
  <c r="O17" i="1"/>
  <c r="O49" i="1" s="1"/>
  <c r="M16" i="5" s="1"/>
  <c r="M17" i="5" s="1"/>
  <c r="N17" i="1"/>
  <c r="N49" i="1" s="1"/>
  <c r="L16" i="5" s="1"/>
  <c r="L17" i="5" s="1"/>
  <c r="M17" i="1"/>
  <c r="M49" i="1" s="1"/>
  <c r="K16" i="5" s="1"/>
  <c r="K17" i="5" s="1"/>
  <c r="L17" i="1"/>
  <c r="L49" i="1" s="1"/>
  <c r="J16" i="5" s="1"/>
  <c r="J17" i="5" s="1"/>
  <c r="K17" i="1"/>
  <c r="L50" i="1" l="1"/>
  <c r="P50" i="1"/>
  <c r="T50" i="1"/>
  <c r="J32" i="5"/>
  <c r="K14" i="5" s="1"/>
  <c r="K32" i="5" s="1"/>
  <c r="L14" i="5" s="1"/>
  <c r="L32" i="5" s="1"/>
  <c r="M14" i="5" s="1"/>
  <c r="M32" i="5" s="1"/>
  <c r="N14" i="5" s="1"/>
  <c r="N32" i="5" s="1"/>
  <c r="O14" i="5" s="1"/>
  <c r="O32" i="5" s="1"/>
  <c r="P14" i="5" s="1"/>
  <c r="P32" i="5" s="1"/>
  <c r="Q14" i="5" s="1"/>
  <c r="Q32" i="5" s="1"/>
  <c r="R14" i="5" s="1"/>
  <c r="R32" i="5" s="1"/>
  <c r="S14" i="5" s="1"/>
  <c r="N50" i="1"/>
  <c r="R50" i="1"/>
  <c r="S50" i="1"/>
  <c r="Z34" i="1"/>
  <c r="X32" i="1"/>
  <c r="AA34" i="1"/>
  <c r="AB34" i="1" s="1"/>
  <c r="Y34" i="1"/>
  <c r="X48" i="1"/>
  <c r="O50" i="1"/>
  <c r="Z32" i="1" l="1"/>
  <c r="AA32" i="1"/>
  <c r="AB32" i="1" s="1"/>
  <c r="Y32" i="1"/>
  <c r="I12" i="4"/>
  <c r="Y48" i="1"/>
  <c r="Z48" i="1"/>
  <c r="AA48" i="1"/>
  <c r="AB48" i="1" s="1"/>
  <c r="W17" i="1" l="1"/>
  <c r="W49" i="1" s="1"/>
  <c r="V17" i="1"/>
  <c r="V49" i="1" s="1"/>
  <c r="U17" i="1"/>
  <c r="U49" i="1" s="1"/>
  <c r="X14" i="1"/>
  <c r="AA6" i="1"/>
  <c r="U16" i="5" l="1"/>
  <c r="U17" i="5" s="1"/>
  <c r="W50" i="1"/>
  <c r="S16" i="5"/>
  <c r="S17" i="5" s="1"/>
  <c r="U50" i="1"/>
  <c r="X49" i="1"/>
  <c r="Z14" i="1"/>
  <c r="Y14" i="1"/>
  <c r="AA14" i="1"/>
  <c r="AB14" i="1" s="1"/>
  <c r="T16" i="5"/>
  <c r="T17" i="5" s="1"/>
  <c r="V50" i="1"/>
  <c r="X17" i="1"/>
  <c r="V17" i="5" l="1"/>
  <c r="S32" i="5"/>
  <c r="T14" i="5" s="1"/>
  <c r="T32" i="5" s="1"/>
  <c r="U14" i="5" s="1"/>
  <c r="U32" i="5" s="1"/>
  <c r="AA17" i="1"/>
  <c r="AB17" i="1" s="1"/>
  <c r="Z17" i="1"/>
  <c r="Y17" i="1"/>
  <c r="I13" i="4"/>
  <c r="I16" i="5" s="1"/>
  <c r="I17" i="5" s="1"/>
  <c r="Y49" i="1"/>
  <c r="Z49" i="1"/>
  <c r="AA49" i="1"/>
  <c r="AB49" i="1" s="1"/>
  <c r="X50" i="1"/>
  <c r="X15" i="1"/>
  <c r="V16" i="5"/>
  <c r="Z15" i="1" l="1"/>
  <c r="Y15" i="1"/>
  <c r="AA15" i="1"/>
  <c r="AB15" i="1" s="1"/>
  <c r="Y50" i="1"/>
  <c r="AA50" i="1"/>
  <c r="AB50" i="1" s="1"/>
  <c r="Z50" i="1"/>
  <c r="X17" i="5"/>
  <c r="I32" i="5"/>
  <c r="Y17" i="5"/>
  <c r="Z17" i="5" s="1"/>
  <c r="W17" i="5"/>
  <c r="V32" i="5"/>
  <c r="Y16" i="5"/>
  <c r="Z16" i="5" s="1"/>
  <c r="W16" i="5"/>
  <c r="X16" i="5"/>
  <c r="X32" i="5" l="1"/>
  <c r="W32" i="5"/>
  <c r="Y32" i="5"/>
  <c r="Z32" i="5" s="1"/>
</calcChain>
</file>

<file path=xl/comments1.xml><?xml version="1.0" encoding="utf-8"?>
<comments xmlns="http://schemas.openxmlformats.org/spreadsheetml/2006/main">
  <authors>
    <author>kobama</author>
  </authors>
  <commentList>
    <comment ref="I1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1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1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O1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O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5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5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5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5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5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5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O5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</commentList>
</comments>
</file>

<file path=xl/sharedStrings.xml><?xml version="1.0" encoding="utf-8"?>
<sst xmlns="http://schemas.openxmlformats.org/spreadsheetml/2006/main" count="985" uniqueCount="344">
  <si>
    <t>担当者</t>
    <phoneticPr fontId="2"/>
  </si>
  <si>
    <t>田辺雄一</t>
    <phoneticPr fontId="2"/>
  </si>
  <si>
    <t>日付</t>
    <phoneticPr fontId="2"/>
  </si>
  <si>
    <t>相手先</t>
    <phoneticPr fontId="2"/>
  </si>
  <si>
    <t>Ｗ社</t>
    <phoneticPr fontId="2"/>
  </si>
  <si>
    <t>役職</t>
    <phoneticPr fontId="2"/>
  </si>
  <si>
    <t>部長印</t>
    <phoneticPr fontId="2"/>
  </si>
  <si>
    <t>課長印</t>
    <phoneticPr fontId="2"/>
  </si>
  <si>
    <t>氏名</t>
    <phoneticPr fontId="2"/>
  </si>
  <si>
    <t>略</t>
    <phoneticPr fontId="2"/>
  </si>
  <si>
    <t>改訂増補「予算会計」（清文社）</t>
    <phoneticPr fontId="2"/>
  </si>
  <si>
    <t>承認印</t>
    <phoneticPr fontId="2"/>
  </si>
  <si>
    <t>(印)</t>
    <phoneticPr fontId="2"/>
  </si>
  <si>
    <t>(印)</t>
    <phoneticPr fontId="2"/>
  </si>
  <si>
    <t>ＮＯ</t>
    <phoneticPr fontId="2"/>
  </si>
  <si>
    <t>予算科目</t>
    <phoneticPr fontId="2"/>
  </si>
  <si>
    <t>表示単位</t>
    <phoneticPr fontId="2"/>
  </si>
  <si>
    <t>数量単位</t>
    <phoneticPr fontId="2"/>
  </si>
  <si>
    <t>貸
借</t>
    <phoneticPr fontId="2"/>
  </si>
  <si>
    <t>課税</t>
    <phoneticPr fontId="2"/>
  </si>
  <si>
    <t>前年度
実績
（担当者）</t>
    <phoneticPr fontId="2"/>
  </si>
  <si>
    <t>×1年</t>
    <phoneticPr fontId="2"/>
  </si>
  <si>
    <t>予算
達成率</t>
    <phoneticPr fontId="2"/>
  </si>
  <si>
    <t>1月</t>
    <phoneticPr fontId="2"/>
  </si>
  <si>
    <t>2月</t>
    <phoneticPr fontId="2"/>
  </si>
  <si>
    <t>3月</t>
    <phoneticPr fontId="2"/>
  </si>
  <si>
    <t>➀</t>
    <phoneticPr fontId="2"/>
  </si>
  <si>
    <t>③</t>
    <phoneticPr fontId="2"/>
  </si>
  <si>
    <t>Ａ</t>
    <phoneticPr fontId="2"/>
  </si>
  <si>
    <t>ﾌﾙ</t>
    <phoneticPr fontId="2"/>
  </si>
  <si>
    <t>Ｂ</t>
    <phoneticPr fontId="2"/>
  </si>
  <si>
    <t>Ｃ</t>
    <phoneticPr fontId="2"/>
  </si>
  <si>
    <t>端数調整</t>
    <phoneticPr fontId="2"/>
  </si>
  <si>
    <t>D</t>
    <phoneticPr fontId="2"/>
  </si>
  <si>
    <t>書籍P29・P31</t>
    <phoneticPr fontId="2"/>
  </si>
  <si>
    <t>演習問題第5回</t>
    <phoneticPr fontId="2"/>
  </si>
  <si>
    <t>4月</t>
    <phoneticPr fontId="2"/>
  </si>
  <si>
    <t>目標予算</t>
    <phoneticPr fontId="2"/>
  </si>
  <si>
    <t>×2年</t>
    <phoneticPr fontId="2"/>
  </si>
  <si>
    <t>次年度
目標予算</t>
    <phoneticPr fontId="2"/>
  </si>
  <si>
    <t>5月</t>
    <phoneticPr fontId="2"/>
  </si>
  <si>
    <t>6月</t>
  </si>
  <si>
    <t>7月</t>
  </si>
  <si>
    <t>8月</t>
  </si>
  <si>
    <t>9月</t>
  </si>
  <si>
    <t>10月</t>
  </si>
  <si>
    <t>11月</t>
  </si>
  <si>
    <t>12月</t>
  </si>
  <si>
    <t>当年度
実績予想
差異</t>
    <phoneticPr fontId="2"/>
  </si>
  <si>
    <t>当年度</t>
    <phoneticPr fontId="2"/>
  </si>
  <si>
    <t>着地予想</t>
    <phoneticPr fontId="2"/>
  </si>
  <si>
    <t>（担当者）</t>
    <phoneticPr fontId="2"/>
  </si>
  <si>
    <t>➁</t>
    <phoneticPr fontId="2"/>
  </si>
  <si>
    <t>④</t>
    <phoneticPr fontId="2"/>
  </si>
  <si>
    <t>⑤</t>
    <phoneticPr fontId="2"/>
  </si>
  <si>
    <t>➅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</si>
  <si>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</si>
  <si>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</si>
  <si>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</si>
  <si>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</si>
  <si>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</si>
  <si>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</si>
  <si>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</si>
  <si>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</si>
  <si>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</si>
  <si>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④～⑮計
＝⑯</t>
    <phoneticPr fontId="2"/>
  </si>
  <si>
    <t>⑯－③
＝⑰</t>
    <phoneticPr fontId="2"/>
  </si>
  <si>
    <t>次期
目標予算
(担当者）</t>
    <phoneticPr fontId="2"/>
  </si>
  <si>
    <t>次期目標
増減差額</t>
    <phoneticPr fontId="2"/>
  </si>
  <si>
    <t>⑰÷③×100%=⑱</t>
    <phoneticPr fontId="2"/>
  </si>
  <si>
    <t>⑯－➁＝⑲</t>
    <phoneticPr fontId="2"/>
  </si>
  <si>
    <t>⑲÷⑯×100%=⑳</t>
    <phoneticPr fontId="2"/>
  </si>
  <si>
    <t>×1年
1月22日</t>
    <phoneticPr fontId="2"/>
  </si>
  <si>
    <t>×1年
1月21日</t>
    <phoneticPr fontId="2"/>
  </si>
  <si>
    <t>×1年
1月20日</t>
    <phoneticPr fontId="2"/>
  </si>
  <si>
    <t>販売数量</t>
    <phoneticPr fontId="2"/>
  </si>
  <si>
    <t>㎏</t>
    <phoneticPr fontId="2"/>
  </si>
  <si>
    <t>千</t>
    <phoneticPr fontId="2"/>
  </si>
  <si>
    <t>円</t>
    <phoneticPr fontId="2"/>
  </si>
  <si>
    <t>売上高
：Ａ×B＋Ｃ＝D</t>
    <phoneticPr fontId="2"/>
  </si>
  <si>
    <t>貸</t>
    <phoneticPr fontId="2"/>
  </si>
  <si>
    <t>鈴木一也</t>
    <phoneticPr fontId="2"/>
  </si>
  <si>
    <t>相手先</t>
    <phoneticPr fontId="2"/>
  </si>
  <si>
    <t>Ｚ社</t>
    <phoneticPr fontId="2"/>
  </si>
  <si>
    <t>書籍P29・P31</t>
    <phoneticPr fontId="2"/>
  </si>
  <si>
    <t>改訂増補「予算会計」（清文社）</t>
    <phoneticPr fontId="2"/>
  </si>
  <si>
    <t>次期
目標
達成率</t>
    <phoneticPr fontId="2"/>
  </si>
  <si>
    <t>平均販売単価＠</t>
    <phoneticPr fontId="2"/>
  </si>
  <si>
    <t>販売数量合計</t>
    <phoneticPr fontId="2"/>
  </si>
  <si>
    <t xml:space="preserve">売上高合計
</t>
    <phoneticPr fontId="2"/>
  </si>
  <si>
    <t>田辺雄一＋鈴木一也＝全社合計</t>
    <phoneticPr fontId="2"/>
  </si>
  <si>
    <t>Ｗ社＋Ｚ社＝全相手先</t>
    <phoneticPr fontId="2"/>
  </si>
  <si>
    <t>田辺雄一</t>
    <phoneticPr fontId="2"/>
  </si>
  <si>
    <t>×1年
2月10日</t>
    <phoneticPr fontId="2"/>
  </si>
  <si>
    <t>×1年
2月9日</t>
    <phoneticPr fontId="2"/>
  </si>
  <si>
    <t>×1年
2月8日</t>
    <phoneticPr fontId="2"/>
  </si>
  <si>
    <t>NO.３ 次期予算作成：全社販売計画書</t>
    <phoneticPr fontId="2"/>
  </si>
  <si>
    <t>NO.1 次期予算：担当者別相手先別販売計画表（田辺雄一）</t>
    <phoneticPr fontId="2"/>
  </si>
  <si>
    <t>NO.２ 次期予算：担当者別相手先別販売計画表（鈴木一也）</t>
    <phoneticPr fontId="2"/>
  </si>
  <si>
    <t>担当者</t>
    <phoneticPr fontId="2"/>
  </si>
  <si>
    <t>田辺雄一</t>
    <phoneticPr fontId="2"/>
  </si>
  <si>
    <t>日付</t>
    <phoneticPr fontId="2"/>
  </si>
  <si>
    <t>×0年1月22日</t>
    <phoneticPr fontId="2"/>
  </si>
  <si>
    <t>×0年1月21日</t>
    <phoneticPr fontId="2"/>
  </si>
  <si>
    <t>×0年1月20日</t>
    <phoneticPr fontId="2"/>
  </si>
  <si>
    <t>相手先</t>
    <phoneticPr fontId="2"/>
  </si>
  <si>
    <t>Ｗ社</t>
    <phoneticPr fontId="2"/>
  </si>
  <si>
    <t>役職</t>
    <phoneticPr fontId="2"/>
  </si>
  <si>
    <t>部長印</t>
    <phoneticPr fontId="2"/>
  </si>
  <si>
    <t>課長印</t>
    <phoneticPr fontId="2"/>
  </si>
  <si>
    <t>書籍P７・P11・P23</t>
    <phoneticPr fontId="2"/>
  </si>
  <si>
    <t>演習問題第１回</t>
    <phoneticPr fontId="2"/>
  </si>
  <si>
    <t>氏名</t>
    <phoneticPr fontId="2"/>
  </si>
  <si>
    <t>略</t>
    <phoneticPr fontId="2"/>
  </si>
  <si>
    <t>改訂増補「予算会計」（清文社）</t>
    <phoneticPr fontId="2"/>
  </si>
  <si>
    <t>承認印</t>
    <phoneticPr fontId="2"/>
  </si>
  <si>
    <t>(印)</t>
    <phoneticPr fontId="2"/>
  </si>
  <si>
    <t>ＮＯ</t>
    <phoneticPr fontId="2"/>
  </si>
  <si>
    <t>予算科目</t>
    <phoneticPr fontId="2"/>
  </si>
  <si>
    <t>表示単位</t>
    <phoneticPr fontId="2"/>
  </si>
  <si>
    <t>数量単位</t>
    <phoneticPr fontId="2"/>
  </si>
  <si>
    <t>貸
借</t>
    <phoneticPr fontId="2"/>
  </si>
  <si>
    <t>課税</t>
    <phoneticPr fontId="2"/>
  </si>
  <si>
    <t>前年度
実績
（担当者）</t>
    <phoneticPr fontId="2"/>
  </si>
  <si>
    <t>当年度
予算
(担当者）</t>
    <phoneticPr fontId="2"/>
  </si>
  <si>
    <t>×0年</t>
    <phoneticPr fontId="2"/>
  </si>
  <si>
    <t>×1年</t>
    <phoneticPr fontId="2"/>
  </si>
  <si>
    <t>当年度
実績予想</t>
    <phoneticPr fontId="2"/>
  </si>
  <si>
    <t>前期比
増減差額</t>
    <phoneticPr fontId="2"/>
  </si>
  <si>
    <t>前期比
増減比率</t>
    <phoneticPr fontId="2"/>
  </si>
  <si>
    <t>当年度
実績予想
差異</t>
    <phoneticPr fontId="2"/>
  </si>
  <si>
    <t>予算
達成率</t>
    <phoneticPr fontId="2"/>
  </si>
  <si>
    <t>予算差異原因・対策・ﾌｨｰﾄﾞﾊﾞｯｸ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</si>
  <si>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</si>
  <si>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</si>
  <si>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</si>
  <si>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</si>
  <si>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実績</t>
    <phoneticPr fontId="2"/>
  </si>
  <si>
    <t>見通し</t>
    <phoneticPr fontId="2"/>
  </si>
  <si>
    <t>➀</t>
    <phoneticPr fontId="2"/>
  </si>
  <si>
    <t>➁</t>
    <phoneticPr fontId="2"/>
  </si>
  <si>
    <t>③</t>
    <phoneticPr fontId="2"/>
  </si>
  <si>
    <t>④</t>
    <phoneticPr fontId="2"/>
  </si>
  <si>
    <t>⑤</t>
    <phoneticPr fontId="2"/>
  </si>
  <si>
    <t>➅</t>
    <phoneticPr fontId="2"/>
  </si>
  <si>
    <t>③～➅計
＝⑦</t>
    <phoneticPr fontId="2"/>
  </si>
  <si>
    <t>⑦－➀
＝⑧</t>
    <phoneticPr fontId="2"/>
  </si>
  <si>
    <t>⑧÷➀×100%=⑨</t>
    <phoneticPr fontId="2"/>
  </si>
  <si>
    <t>⑦－➁＝⑩</t>
    <phoneticPr fontId="2"/>
  </si>
  <si>
    <t>⑩÷➁×100%=⑪</t>
    <phoneticPr fontId="2"/>
  </si>
  <si>
    <t>区分</t>
    <phoneticPr fontId="2"/>
  </si>
  <si>
    <t>内容</t>
    <phoneticPr fontId="2"/>
  </si>
  <si>
    <t>対策</t>
    <phoneticPr fontId="2"/>
  </si>
  <si>
    <t>次期予算ﾌｨｰﾄﾞﾊﾞｯｸ</t>
    <phoneticPr fontId="2"/>
  </si>
  <si>
    <t>Ａ</t>
    <phoneticPr fontId="2"/>
  </si>
  <si>
    <t>販売数量</t>
    <phoneticPr fontId="2"/>
  </si>
  <si>
    <t>ﾌﾙ</t>
    <phoneticPr fontId="2"/>
  </si>
  <si>
    <t>㎏</t>
    <phoneticPr fontId="2"/>
  </si>
  <si>
    <t>予算
設定</t>
    <phoneticPr fontId="2"/>
  </si>
  <si>
    <t>戦略欠如</t>
    <phoneticPr fontId="2"/>
  </si>
  <si>
    <t>Ｗ社購買責任者と直接交渉を行なう</t>
    <phoneticPr fontId="2"/>
  </si>
  <si>
    <t>具体的戦略・行動計画を多角的に営業部門全体でつめる</t>
    <phoneticPr fontId="2"/>
  </si>
  <si>
    <t>Ｂ</t>
    <phoneticPr fontId="2"/>
  </si>
  <si>
    <t>販売単価</t>
    <phoneticPr fontId="2"/>
  </si>
  <si>
    <t>千</t>
    <phoneticPr fontId="2"/>
  </si>
  <si>
    <t>円</t>
    <phoneticPr fontId="2"/>
  </si>
  <si>
    <t>価格競争が
激しい為</t>
    <phoneticPr fontId="2"/>
  </si>
  <si>
    <t>安易な値引きに応じるのではなく、アフターフーサビス等の差別化戦略をとる</t>
    <phoneticPr fontId="2"/>
  </si>
  <si>
    <t>予算価格は保守的に設定し、販売数量でリカバリーするように計画を立てる</t>
    <phoneticPr fontId="2"/>
  </si>
  <si>
    <t>Ｃ</t>
    <phoneticPr fontId="2"/>
  </si>
  <si>
    <t>端数調整</t>
    <phoneticPr fontId="2"/>
  </si>
  <si>
    <t>D</t>
    <phoneticPr fontId="2"/>
  </si>
  <si>
    <r>
      <rPr>
        <b/>
        <sz val="18"/>
        <color theme="1"/>
        <rFont val="ＭＳ Ｐゴシック"/>
        <family val="3"/>
        <charset val="128"/>
        <scheme val="minor"/>
      </rPr>
      <t>売上高</t>
    </r>
    <r>
      <rPr>
        <b/>
        <sz val="11"/>
        <color theme="1"/>
        <rFont val="ＭＳ Ｐゴシック"/>
        <family val="3"/>
        <charset val="128"/>
        <scheme val="minor"/>
      </rPr>
      <t xml:space="preserve">
：Ａ×B＋Ｃ＝D</t>
    </r>
    <phoneticPr fontId="2"/>
  </si>
  <si>
    <t>貸</t>
    <phoneticPr fontId="2"/>
  </si>
  <si>
    <t>同上</t>
    <phoneticPr fontId="2"/>
  </si>
  <si>
    <t>鈴木一也</t>
    <phoneticPr fontId="2"/>
  </si>
  <si>
    <t>Ｚ社</t>
    <phoneticPr fontId="2"/>
  </si>
  <si>
    <t>③～➅計＝⑦</t>
    <phoneticPr fontId="2"/>
  </si>
  <si>
    <t>3月納品150㎏受注予定分についてＺ社の購買部よりキャンセルが生じている。</t>
    <phoneticPr fontId="2"/>
  </si>
  <si>
    <t>Ｚ社購買責任者と直接交渉を行ない、キャンセル分の対応について協議する</t>
    <phoneticPr fontId="2"/>
  </si>
  <si>
    <t>キャンセル分について今期納品が難しい場合は次期納品でＺ社購買部と調整する。</t>
    <phoneticPr fontId="2"/>
  </si>
  <si>
    <t>田辺雄一＋鈴木一也＝全社合計</t>
    <phoneticPr fontId="2"/>
  </si>
  <si>
    <t>Ｗ社＋Ｚ社＝全相手先</t>
    <phoneticPr fontId="2"/>
  </si>
  <si>
    <t>前年度
実績
（全社）</t>
    <phoneticPr fontId="2"/>
  </si>
  <si>
    <t>当年度
予算
(全社）</t>
    <phoneticPr fontId="2"/>
  </si>
  <si>
    <t>1
2</t>
    <phoneticPr fontId="2"/>
  </si>
  <si>
    <t>予算設定
実績</t>
    <phoneticPr fontId="2"/>
  </si>
  <si>
    <t>具体的戦略欠如
Ｚ社キャンセル</t>
    <phoneticPr fontId="2"/>
  </si>
  <si>
    <t>Ｗ社・Ｚ社の購買責任者と直接交渉を行なう</t>
    <phoneticPr fontId="2"/>
  </si>
  <si>
    <t>↓</t>
    <phoneticPr fontId="2"/>
  </si>
  <si>
    <t>在庫計画書：月次出庫数量</t>
    <phoneticPr fontId="2"/>
  </si>
  <si>
    <t>予算設定</t>
    <phoneticPr fontId="2"/>
  </si>
  <si>
    <t>安易な値引きに応じるのではなく、アフターフォローサビス等の差別化戦略をとってクロージングする</t>
    <phoneticPr fontId="2"/>
  </si>
  <si>
    <t>売上高</t>
    <phoneticPr fontId="2"/>
  </si>
  <si>
    <t>実績予想PＬ</t>
    <phoneticPr fontId="2"/>
  </si>
  <si>
    <t>消費税率</t>
    <phoneticPr fontId="2"/>
  </si>
  <si>
    <t>消費税等予算科目</t>
    <phoneticPr fontId="2"/>
  </si>
  <si>
    <t>課税対象：予算科目</t>
    <phoneticPr fontId="2"/>
  </si>
  <si>
    <t>前月繰越</t>
    <phoneticPr fontId="2"/>
  </si>
  <si>
    <t>売上高</t>
    <phoneticPr fontId="2"/>
  </si>
  <si>
    <t>消費税等額</t>
    <phoneticPr fontId="2"/>
  </si>
  <si>
    <t>Ｄ</t>
    <phoneticPr fontId="2"/>
  </si>
  <si>
    <t>借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</si>
  <si>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</si>
  <si>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</si>
  <si>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</si>
  <si>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</si>
  <si>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</si>
  <si>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消費税等額計</t>
    <phoneticPr fontId="2"/>
  </si>
  <si>
    <t>J</t>
    <phoneticPr fontId="2"/>
  </si>
  <si>
    <t>K</t>
    <phoneticPr fontId="2"/>
  </si>
  <si>
    <t>⑤消費税等の
中間納付</t>
    <phoneticPr fontId="2"/>
  </si>
  <si>
    <t>➅月末（期末）繰越
：未払消費税等</t>
    <phoneticPr fontId="2"/>
  </si>
  <si>
    <t>➀＋➁-③
-④-⑤＝➅</t>
    <phoneticPr fontId="2"/>
  </si>
  <si>
    <t>演習問題第5回</t>
    <phoneticPr fontId="2"/>
  </si>
  <si>
    <t>当期実績予想：予算損益計算書</t>
    <phoneticPr fontId="2"/>
  </si>
  <si>
    <t>書籍P20・21・22・23 参照</t>
    <phoneticPr fontId="2"/>
  </si>
  <si>
    <t>予算会計メルマガ 3cckodama</t>
    <phoneticPr fontId="2"/>
  </si>
  <si>
    <t>NO</t>
    <phoneticPr fontId="2"/>
  </si>
  <si>
    <t>科      目</t>
    <phoneticPr fontId="2"/>
  </si>
  <si>
    <t>貸借</t>
    <phoneticPr fontId="2"/>
  </si>
  <si>
    <t>消費税</t>
    <phoneticPr fontId="2"/>
  </si>
  <si>
    <t>変・固</t>
    <phoneticPr fontId="2"/>
  </si>
  <si>
    <t>当期実績予想金額(千円)</t>
    <phoneticPr fontId="2"/>
  </si>
  <si>
    <t>➁当期
予算額</t>
    <phoneticPr fontId="2"/>
  </si>
  <si>
    <t>③当期
予算差異</t>
    <phoneticPr fontId="2"/>
  </si>
  <si>
    <t>④当期
予算差異率</t>
    <phoneticPr fontId="2"/>
  </si>
  <si>
    <t>分析・
評価</t>
    <phoneticPr fontId="2"/>
  </si>
  <si>
    <t>➀金額</t>
    <phoneticPr fontId="2"/>
  </si>
  <si>
    <t>内訳金額</t>
    <phoneticPr fontId="2"/>
  </si>
  <si>
    <t>変動費</t>
    <phoneticPr fontId="2"/>
  </si>
  <si>
    <t>固定費</t>
    <phoneticPr fontId="2"/>
  </si>
  <si>
    <t>【売上高】</t>
    <phoneticPr fontId="2"/>
  </si>
  <si>
    <t>【構成内訳】</t>
    <phoneticPr fontId="2"/>
  </si>
  <si>
    <t>販売数量㎏</t>
    <phoneticPr fontId="2"/>
  </si>
  <si>
    <t>【売上原価】</t>
    <phoneticPr fontId="2"/>
  </si>
  <si>
    <t>期首商品たな卸高</t>
    <phoneticPr fontId="2"/>
  </si>
  <si>
    <t>当期商品仕入高</t>
    <phoneticPr fontId="2"/>
  </si>
  <si>
    <t>小計</t>
    <phoneticPr fontId="2"/>
  </si>
  <si>
    <t>期末商品たな卸高</t>
    <phoneticPr fontId="2"/>
  </si>
  <si>
    <t>差引売上原価</t>
    <phoneticPr fontId="2"/>
  </si>
  <si>
    <t>売上総利益</t>
    <phoneticPr fontId="2"/>
  </si>
  <si>
    <t>売上総利益率</t>
    <phoneticPr fontId="2"/>
  </si>
  <si>
    <t>【販売費及び一般管理費】</t>
    <phoneticPr fontId="2"/>
  </si>
  <si>
    <t>役員報酬</t>
    <phoneticPr fontId="2"/>
  </si>
  <si>
    <t>給与・賞与</t>
    <phoneticPr fontId="2"/>
  </si>
  <si>
    <t>法定福利費</t>
    <phoneticPr fontId="2"/>
  </si>
  <si>
    <t>販売手数料</t>
    <phoneticPr fontId="2"/>
  </si>
  <si>
    <t>広告宣伝費</t>
    <phoneticPr fontId="2"/>
  </si>
  <si>
    <t>旅費交通費</t>
    <phoneticPr fontId="2"/>
  </si>
  <si>
    <t>水道光熱費</t>
    <phoneticPr fontId="2"/>
  </si>
  <si>
    <t>通信費</t>
    <phoneticPr fontId="2"/>
  </si>
  <si>
    <t>消耗品費</t>
    <phoneticPr fontId="2"/>
  </si>
  <si>
    <t>賃借料</t>
    <phoneticPr fontId="2"/>
  </si>
  <si>
    <t>交際費</t>
    <phoneticPr fontId="2"/>
  </si>
  <si>
    <t>租税公課</t>
    <phoneticPr fontId="2"/>
  </si>
  <si>
    <t>減価償却費</t>
    <phoneticPr fontId="2"/>
  </si>
  <si>
    <t>雑費</t>
    <phoneticPr fontId="2"/>
  </si>
  <si>
    <t>販売費及び一般管理費合計</t>
    <phoneticPr fontId="2"/>
  </si>
  <si>
    <t>営業利益</t>
    <phoneticPr fontId="2"/>
  </si>
  <si>
    <t>営業利益率</t>
    <phoneticPr fontId="2"/>
  </si>
  <si>
    <t>【営業外収益】</t>
    <phoneticPr fontId="2"/>
  </si>
  <si>
    <t>受取利息</t>
    <phoneticPr fontId="2"/>
  </si>
  <si>
    <t>【営業外費用】</t>
    <phoneticPr fontId="2"/>
  </si>
  <si>
    <t>支払利息</t>
    <phoneticPr fontId="2"/>
  </si>
  <si>
    <t>経常利益</t>
    <phoneticPr fontId="2"/>
  </si>
  <si>
    <t>経常利益率</t>
    <phoneticPr fontId="2"/>
  </si>
  <si>
    <t>【特別利益】</t>
    <phoneticPr fontId="2"/>
  </si>
  <si>
    <t>固定資産売却益</t>
    <phoneticPr fontId="2"/>
  </si>
  <si>
    <t>【特別損失】</t>
    <phoneticPr fontId="2"/>
  </si>
  <si>
    <t>固定資産売却損</t>
    <phoneticPr fontId="2"/>
  </si>
  <si>
    <t>税引前当期純利益</t>
    <phoneticPr fontId="2"/>
  </si>
  <si>
    <t>同利益率</t>
    <phoneticPr fontId="2"/>
  </si>
  <si>
    <t>【法人税等】</t>
    <phoneticPr fontId="2"/>
  </si>
  <si>
    <t>法人税、住民税及び事業税</t>
    <phoneticPr fontId="2"/>
  </si>
  <si>
    <t>法人税等調整額</t>
    <phoneticPr fontId="2"/>
  </si>
  <si>
    <t>法人税等等合計</t>
    <phoneticPr fontId="2"/>
  </si>
  <si>
    <t>当期純利益</t>
    <phoneticPr fontId="2"/>
  </si>
  <si>
    <t>【変動費・固定費分析】</t>
    <phoneticPr fontId="2"/>
  </si>
  <si>
    <t>変動費率</t>
    <phoneticPr fontId="2"/>
  </si>
  <si>
    <t>限界利益率</t>
    <phoneticPr fontId="2"/>
  </si>
  <si>
    <t>項　　　　目</t>
    <phoneticPr fontId="2"/>
  </si>
  <si>
    <t>当期実績予想</t>
    <phoneticPr fontId="2"/>
  </si>
  <si>
    <t>次期目標</t>
    <phoneticPr fontId="2"/>
  </si>
  <si>
    <t>根拠等</t>
    <phoneticPr fontId="2"/>
  </si>
  <si>
    <t>千円</t>
    <phoneticPr fontId="2"/>
  </si>
  <si>
    <t>➄</t>
    <phoneticPr fontId="2"/>
  </si>
  <si>
    <t>価格競争より10％低下予測</t>
    <phoneticPr fontId="2"/>
  </si>
  <si>
    <t>変動費率10%引き下げ可能</t>
    <phoneticPr fontId="2"/>
  </si>
  <si>
    <t>同上</t>
    <phoneticPr fontId="2"/>
  </si>
  <si>
    <t>7,200千円削減可能</t>
    <phoneticPr fontId="2"/>
  </si>
  <si>
    <t>目標利益</t>
    <phoneticPr fontId="2"/>
  </si>
  <si>
    <t>目標利益計画表より</t>
    <phoneticPr fontId="2"/>
  </si>
  <si>
    <t>調整前目標売上高</t>
    <phoneticPr fontId="2"/>
  </si>
  <si>
    <t>＝</t>
    <phoneticPr fontId="2"/>
  </si>
  <si>
    <t>（目標利益➀＋目標固定費➁）÷③目標限界利益率</t>
    <phoneticPr fontId="2"/>
  </si>
  <si>
    <t>目標販売数量</t>
    <phoneticPr fontId="2"/>
  </si>
  <si>
    <t>÷目標販売単価➄</t>
  </si>
  <si>
    <t>→１桁目切り上げ</t>
    <phoneticPr fontId="2"/>
  </si>
  <si>
    <t>目標売上高</t>
    <phoneticPr fontId="2"/>
  </si>
  <si>
    <t>目標販売単価➄</t>
    <phoneticPr fontId="2"/>
  </si>
  <si>
    <t>×</t>
    <phoneticPr fontId="2"/>
  </si>
  <si>
    <t>書籍P29・31</t>
    <phoneticPr fontId="2"/>
  </si>
  <si>
    <t>（×１年４月１日～×２年３月31日）</t>
    <phoneticPr fontId="2"/>
  </si>
  <si>
    <t>予算額
（予算数値）</t>
    <phoneticPr fontId="2"/>
  </si>
  <si>
    <t>根拠資料</t>
    <phoneticPr fontId="2"/>
  </si>
  <si>
    <t>貸</t>
    <phoneticPr fontId="2"/>
  </si>
  <si>
    <t>売上高</t>
    <phoneticPr fontId="2"/>
  </si>
  <si>
    <t>「全社販売計画書」より</t>
    <phoneticPr fontId="2"/>
  </si>
  <si>
    <t>×1年3月10日</t>
    <phoneticPr fontId="2"/>
  </si>
  <si>
    <t>×1年3月9日</t>
    <phoneticPr fontId="2"/>
  </si>
  <si>
    <t>×1年3月８日</t>
    <phoneticPr fontId="2"/>
  </si>
  <si>
    <t>➁
仮受消費税等</t>
    <phoneticPr fontId="2"/>
  </si>
  <si>
    <t>③
仮払消費税等</t>
    <phoneticPr fontId="2"/>
  </si>
  <si>
    <t>実績予想：担当者別相手先別販売計画表（田辺雄一）</t>
    <phoneticPr fontId="2"/>
  </si>
  <si>
    <t>実績予想：担当者別相手先別販売計画表（鈴木一也）</t>
    <phoneticPr fontId="2"/>
  </si>
  <si>
    <t>⑲÷⑯×100%=⑳</t>
    <phoneticPr fontId="2"/>
  </si>
  <si>
    <t>当期比
増減率</t>
    <phoneticPr fontId="2"/>
  </si>
  <si>
    <t>前年度
実績
（全社）</t>
    <phoneticPr fontId="2"/>
  </si>
  <si>
    <t>（全社）</t>
    <phoneticPr fontId="2"/>
  </si>
  <si>
    <t>次期
目標予算
(全社）</t>
    <phoneticPr fontId="2"/>
  </si>
  <si>
    <t>予算編成方針（売上高）</t>
    <phoneticPr fontId="2"/>
  </si>
  <si>
    <t>↓</t>
    <phoneticPr fontId="2"/>
  </si>
  <si>
    <t>予算損益計算書へ転記</t>
    <phoneticPr fontId="2"/>
  </si>
  <si>
    <t>当期実績予想：消費税等計画書</t>
    <phoneticPr fontId="2"/>
  </si>
  <si>
    <t>前年度
実績</t>
    <phoneticPr fontId="2"/>
  </si>
  <si>
    <t>当年度
実績
予想</t>
    <phoneticPr fontId="2"/>
  </si>
  <si>
    <t xml:space="preserve">次期
目標
予算
</t>
    <phoneticPr fontId="2"/>
  </si>
  <si>
    <t>注１：当期実績予想BSより転記</t>
    <phoneticPr fontId="2"/>
  </si>
  <si>
    <t>注１</t>
    <phoneticPr fontId="2"/>
  </si>
  <si>
    <t>次年度
目標
予算</t>
    <phoneticPr fontId="2"/>
  </si>
  <si>
    <t>次期
目標
増減
差額</t>
    <phoneticPr fontId="2"/>
  </si>
  <si>
    <t>当期比
増減
率</t>
    <phoneticPr fontId="2"/>
  </si>
  <si>
    <t>当年度
実績予想
差異</t>
    <phoneticPr fontId="2"/>
  </si>
  <si>
    <t>④前期：
未払消費税等
の確定納付</t>
    <phoneticPr fontId="2"/>
  </si>
  <si>
    <t>注2</t>
    <phoneticPr fontId="2"/>
  </si>
  <si>
    <t>注１：書籍P９５参照</t>
    <phoneticPr fontId="2"/>
  </si>
  <si>
    <t>基礎資料NO.1 実績予想：担当者別相手先別販売計画表</t>
    <phoneticPr fontId="2"/>
  </si>
  <si>
    <t>基礎資料NO.２ 実績予想：担当者別相手先別販売計画表</t>
    <phoneticPr fontId="2"/>
  </si>
  <si>
    <t>基礎資料NO.３ 実績予想：全社販売計画書</t>
    <phoneticPr fontId="2"/>
  </si>
  <si>
    <t>基礎資料NO.4：「目標売上高」EXCEL表</t>
    <phoneticPr fontId="2"/>
  </si>
  <si>
    <t>NO.４予算損益計算書</t>
    <phoneticPr fontId="2"/>
  </si>
  <si>
    <t>NO.５ 次期予算：消費税等計画書【全社合計】</t>
    <phoneticPr fontId="2"/>
  </si>
  <si>
    <t>➀月初（期首）
繰越 ：未払消費税等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</si>
</sst>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0.0%"/>
  </numFmts>
  <fonts count="22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18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12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4" borderId="12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 shrinkToFit="1"/>
    </xf>
    <xf numFmtId="0" fontId="0" fillId="0" borderId="9" xfId="0" applyBorder="1">
      <alignment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/>
    </xf>
    <xf numFmtId="0" fontId="8" fillId="4" borderId="8" xfId="0" applyFont="1" applyFill="1" applyBorder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6" fontId="8" fillId="2" borderId="12" xfId="0" applyNumberFormat="1" applyFont="1" applyFill="1" applyBorder="1" applyAlignment="1"/>
    <xf numFmtId="176" fontId="8" fillId="2" borderId="1" xfId="0" applyNumberFormat="1" applyFont="1" applyFill="1" applyBorder="1" applyAlignment="1"/>
    <xf numFmtId="176" fontId="8" fillId="3" borderId="8" xfId="0" applyNumberFormat="1" applyFont="1" applyFill="1" applyBorder="1" applyAlignment="1"/>
    <xf numFmtId="176" fontId="8" fillId="3" borderId="17" xfId="0" applyNumberFormat="1" applyFont="1" applyFill="1" applyBorder="1" applyAlignment="1"/>
    <xf numFmtId="177" fontId="8" fillId="3" borderId="18" xfId="0" applyNumberFormat="1" applyFont="1" applyFill="1" applyBorder="1" applyAlignment="1"/>
    <xf numFmtId="9" fontId="8" fillId="3" borderId="8" xfId="0" applyNumberFormat="1" applyFont="1" applyFill="1" applyBorder="1" applyAlignment="1"/>
    <xf numFmtId="0" fontId="10" fillId="0" borderId="1" xfId="0" applyFont="1" applyBorder="1" applyAlignment="1">
      <alignment horizontal="center" vertical="center"/>
    </xf>
    <xf numFmtId="176" fontId="8" fillId="3" borderId="12" xfId="0" applyNumberFormat="1" applyFont="1" applyFill="1" applyBorder="1" applyAlignment="1"/>
    <xf numFmtId="0" fontId="10" fillId="0" borderId="12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176" fontId="8" fillId="0" borderId="12" xfId="0" applyNumberFormat="1" applyFont="1" applyBorder="1">
      <alignment vertical="center"/>
    </xf>
    <xf numFmtId="176" fontId="8" fillId="2" borderId="12" xfId="0" applyNumberFormat="1" applyFont="1" applyFill="1" applyBorder="1">
      <alignment vertical="center"/>
    </xf>
    <xf numFmtId="176" fontId="8" fillId="0" borderId="12" xfId="0" applyNumberFormat="1" applyFont="1" applyBorder="1" applyAlignment="1"/>
    <xf numFmtId="0" fontId="8" fillId="4" borderId="8" xfId="0" applyFont="1" applyFill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176" fontId="8" fillId="3" borderId="1" xfId="0" applyNumberFormat="1" applyFont="1" applyFill="1" applyBorder="1" applyAlignment="1"/>
    <xf numFmtId="0" fontId="3" fillId="0" borderId="19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3" borderId="17" xfId="0" applyFont="1" applyFill="1" applyBorder="1" applyAlignment="1">
      <alignment horizontal="center" vertical="center" wrapText="1" shrinkToFit="1"/>
    </xf>
    <xf numFmtId="0" fontId="0" fillId="0" borderId="17" xfId="0" applyBorder="1">
      <alignment vertical="center"/>
    </xf>
    <xf numFmtId="0" fontId="3" fillId="3" borderId="23" xfId="0" applyFont="1" applyFill="1" applyBorder="1" applyAlignment="1">
      <alignment horizontal="center" vertical="center" wrapText="1"/>
    </xf>
    <xf numFmtId="0" fontId="0" fillId="0" borderId="24" xfId="0" applyBorder="1">
      <alignment vertical="center"/>
    </xf>
    <xf numFmtId="0" fontId="3" fillId="4" borderId="1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6" fillId="4" borderId="8" xfId="0" applyFont="1" applyFill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4" fillId="2" borderId="12" xfId="0" applyNumberFormat="1" applyFont="1" applyFill="1" applyBorder="1" applyAlignment="1"/>
    <xf numFmtId="176" fontId="4" fillId="2" borderId="1" xfId="0" applyNumberFormat="1" applyFont="1" applyFill="1" applyBorder="1" applyAlignment="1"/>
    <xf numFmtId="176" fontId="6" fillId="3" borderId="8" xfId="0" applyNumberFormat="1" applyFont="1" applyFill="1" applyBorder="1" applyAlignment="1"/>
    <xf numFmtId="176" fontId="3" fillId="3" borderId="17" xfId="0" applyNumberFormat="1" applyFont="1" applyFill="1" applyBorder="1" applyAlignment="1"/>
    <xf numFmtId="177" fontId="3" fillId="3" borderId="18" xfId="0" applyNumberFormat="1" applyFont="1" applyFill="1" applyBorder="1" applyAlignment="1"/>
    <xf numFmtId="176" fontId="11" fillId="3" borderId="8" xfId="0" applyNumberFormat="1" applyFont="1" applyFill="1" applyBorder="1" applyAlignment="1"/>
    <xf numFmtId="9" fontId="6" fillId="3" borderId="8" xfId="0" applyNumberFormat="1" applyFont="1" applyFill="1" applyBorder="1" applyAlignment="1"/>
    <xf numFmtId="176" fontId="3" fillId="0" borderId="17" xfId="0" applyNumberFormat="1" applyFont="1" applyBorder="1">
      <alignment vertical="center"/>
    </xf>
    <xf numFmtId="176" fontId="3" fillId="0" borderId="12" xfId="0" applyNumberFormat="1" applyFont="1" applyBorder="1" applyAlignment="1">
      <alignment horizontal="center" vertical="center" wrapText="1"/>
    </xf>
    <xf numFmtId="176" fontId="12" fillId="0" borderId="12" xfId="0" applyNumberFormat="1" applyFont="1" applyBorder="1" applyAlignment="1">
      <alignment horizontal="center" vertical="top"/>
    </xf>
    <xf numFmtId="176" fontId="12" fillId="0" borderId="12" xfId="0" applyNumberFormat="1" applyFont="1" applyBorder="1" applyAlignment="1">
      <alignment vertical="top" wrapText="1"/>
    </xf>
    <xf numFmtId="176" fontId="4" fillId="3" borderId="12" xfId="0" applyNumberFormat="1" applyFont="1" applyFill="1" applyBorder="1" applyAlignment="1"/>
    <xf numFmtId="176" fontId="6" fillId="3" borderId="12" xfId="0" applyNumberFormat="1" applyFont="1" applyFill="1" applyBorder="1" applyAlignment="1"/>
    <xf numFmtId="177" fontId="3" fillId="3" borderId="17" xfId="0" applyNumberFormat="1" applyFont="1" applyFill="1" applyBorder="1" applyAlignment="1"/>
    <xf numFmtId="176" fontId="12" fillId="0" borderId="12" xfId="0" applyNumberFormat="1" applyFont="1" applyBorder="1" applyAlignment="1">
      <alignment horizontal="center" vertical="top" wrapText="1"/>
    </xf>
    <xf numFmtId="176" fontId="12" fillId="0" borderId="12" xfId="0" applyNumberFormat="1" applyFont="1" applyBorder="1" applyAlignment="1">
      <alignment horizontal="left" vertical="top" wrapText="1"/>
    </xf>
    <xf numFmtId="0" fontId="0" fillId="0" borderId="12" xfId="0" applyBorder="1" applyAlignment="1">
      <alignment horizontal="center" vertical="center"/>
    </xf>
    <xf numFmtId="0" fontId="3" fillId="0" borderId="10" xfId="0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2" borderId="12" xfId="0" applyNumberFormat="1" applyFont="1" applyFill="1" applyBorder="1">
      <alignment vertical="center"/>
    </xf>
    <xf numFmtId="176" fontId="3" fillId="0" borderId="12" xfId="0" applyNumberFormat="1" applyFont="1" applyBorder="1" applyAlignment="1"/>
    <xf numFmtId="0" fontId="3" fillId="4" borderId="8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176" fontId="3" fillId="3" borderId="17" xfId="0" applyNumberFormat="1" applyFont="1" applyFill="1" applyBorder="1">
      <alignment vertical="center"/>
    </xf>
    <xf numFmtId="177" fontId="3" fillId="3" borderId="17" xfId="0" applyNumberFormat="1" applyFont="1" applyFill="1" applyBorder="1">
      <alignment vertical="center"/>
    </xf>
    <xf numFmtId="176" fontId="3" fillId="0" borderId="12" xfId="0" applyNumberFormat="1" applyFont="1" applyBorder="1" applyAlignment="1">
      <alignment horizontal="center" vertical="center"/>
    </xf>
    <xf numFmtId="177" fontId="3" fillId="3" borderId="18" xfId="0" applyNumberFormat="1" applyFont="1" applyFill="1" applyBorder="1">
      <alignment vertical="center"/>
    </xf>
    <xf numFmtId="176" fontId="3" fillId="2" borderId="12" xfId="0" applyNumberFormat="1" applyFont="1" applyFill="1" applyBorder="1" applyAlignment="1"/>
    <xf numFmtId="0" fontId="6" fillId="4" borderId="8" xfId="0" applyFont="1" applyFill="1" applyBorder="1" applyAlignment="1">
      <alignment horizontal="left"/>
    </xf>
    <xf numFmtId="176" fontId="13" fillId="5" borderId="12" xfId="0" applyNumberFormat="1" applyFont="1" applyFill="1" applyBorder="1" applyAlignment="1"/>
    <xf numFmtId="176" fontId="14" fillId="5" borderId="12" xfId="0" applyNumberFormat="1" applyFont="1" applyFill="1" applyBorder="1" applyAlignment="1"/>
    <xf numFmtId="176" fontId="14" fillId="5" borderId="8" xfId="0" applyNumberFormat="1" applyFont="1" applyFill="1" applyBorder="1" applyAlignment="1"/>
    <xf numFmtId="176" fontId="3" fillId="0" borderId="17" xfId="0" applyNumberFormat="1" applyFont="1" applyBorder="1" applyAlignment="1">
      <alignment horizontal="right" vertical="top" wrapText="1"/>
    </xf>
    <xf numFmtId="176" fontId="3" fillId="0" borderId="12" xfId="0" applyNumberFormat="1" applyFont="1" applyBorder="1" applyAlignment="1">
      <alignment horizontal="left" vertical="top" wrapText="1"/>
    </xf>
    <xf numFmtId="176" fontId="3" fillId="0" borderId="0" xfId="0" applyNumberFormat="1" applyFont="1" applyBorder="1" applyAlignment="1">
      <alignment horizontal="center" vertical="center"/>
    </xf>
    <xf numFmtId="0" fontId="6" fillId="4" borderId="8" xfId="0" applyFont="1" applyFill="1" applyBorder="1" applyAlignment="1"/>
    <xf numFmtId="176" fontId="3" fillId="0" borderId="17" xfId="0" applyNumberFormat="1" applyFont="1" applyBorder="1" applyAlignment="1">
      <alignment vertical="top"/>
    </xf>
    <xf numFmtId="176" fontId="3" fillId="0" borderId="12" xfId="0" applyNumberFormat="1" applyFont="1" applyBorder="1" applyAlignment="1">
      <alignment horizontal="center" vertical="top" wrapText="1"/>
    </xf>
    <xf numFmtId="176" fontId="3" fillId="2" borderId="9" xfId="0" applyNumberFormat="1" applyFont="1" applyFill="1" applyBorder="1" applyAlignment="1"/>
    <xf numFmtId="0" fontId="6" fillId="4" borderId="8" xfId="0" applyFont="1" applyFill="1" applyBorder="1" applyAlignment="1">
      <alignment vertical="center" wrapText="1"/>
    </xf>
    <xf numFmtId="176" fontId="4" fillId="3" borderId="1" xfId="0" applyNumberFormat="1" applyFont="1" applyFill="1" applyBorder="1" applyAlignment="1"/>
    <xf numFmtId="176" fontId="4" fillId="3" borderId="8" xfId="0" applyNumberFormat="1" applyFont="1" applyFill="1" applyBorder="1" applyAlignment="1"/>
    <xf numFmtId="176" fontId="4" fillId="3" borderId="17" xfId="0" applyNumberFormat="1" applyFont="1" applyFill="1" applyBorder="1" applyAlignment="1"/>
    <xf numFmtId="0" fontId="0" fillId="0" borderId="0" xfId="0" applyBorder="1" applyAlignment="1">
      <alignment horizontal="center" vertical="center"/>
    </xf>
    <xf numFmtId="176" fontId="3" fillId="0" borderId="0" xfId="0" applyNumberFormat="1" applyFont="1" applyBorder="1">
      <alignment vertical="center"/>
    </xf>
    <xf numFmtId="0" fontId="15" fillId="5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0" fillId="0" borderId="15" xfId="0" applyBorder="1">
      <alignment vertical="center"/>
    </xf>
    <xf numFmtId="176" fontId="0" fillId="0" borderId="9" xfId="0" applyNumberFormat="1" applyBorder="1">
      <alignment vertical="center"/>
    </xf>
    <xf numFmtId="0" fontId="11" fillId="4" borderId="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 wrapText="1"/>
    </xf>
    <xf numFmtId="176" fontId="13" fillId="5" borderId="12" xfId="0" applyNumberFormat="1" applyFont="1" applyFill="1" applyBorder="1" applyAlignment="1">
      <alignment shrinkToFit="1"/>
    </xf>
    <xf numFmtId="176" fontId="14" fillId="5" borderId="8" xfId="0" applyNumberFormat="1" applyFont="1" applyFill="1" applyBorder="1" applyAlignment="1">
      <alignment shrinkToFit="1"/>
    </xf>
    <xf numFmtId="0" fontId="3" fillId="4" borderId="7" xfId="0" applyFont="1" applyFill="1" applyBorder="1" applyAlignment="1">
      <alignment vertical="center" wrapText="1"/>
    </xf>
    <xf numFmtId="0" fontId="6" fillId="4" borderId="7" xfId="0" applyFont="1" applyFill="1" applyBorder="1">
      <alignment vertical="center"/>
    </xf>
    <xf numFmtId="0" fontId="16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17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/>
    </xf>
    <xf numFmtId="176" fontId="6" fillId="3" borderId="8" xfId="0" applyNumberFormat="1" applyFont="1" applyFill="1" applyBorder="1">
      <alignment vertical="center"/>
    </xf>
    <xf numFmtId="176" fontId="8" fillId="9" borderId="8" xfId="0" applyNumberFormat="1" applyFont="1" applyFill="1" applyBorder="1" applyAlignment="1"/>
    <xf numFmtId="176" fontId="20" fillId="5" borderId="8" xfId="0" applyNumberFormat="1" applyFont="1" applyFill="1" applyBorder="1" applyAlignment="1"/>
    <xf numFmtId="0" fontId="8" fillId="0" borderId="0" xfId="0" applyFont="1">
      <alignment vertical="center"/>
    </xf>
    <xf numFmtId="176" fontId="20" fillId="5" borderId="25" xfId="0" applyNumberFormat="1" applyFont="1" applyFill="1" applyBorder="1" applyAlignment="1"/>
    <xf numFmtId="0" fontId="10" fillId="0" borderId="0" xfId="0" applyFont="1" applyBorder="1" applyAlignment="1">
      <alignment horizontal="center" vertical="center"/>
    </xf>
    <xf numFmtId="0" fontId="8" fillId="10" borderId="0" xfId="0" applyFont="1" applyFill="1" applyBorder="1">
      <alignment vertical="center"/>
    </xf>
    <xf numFmtId="0" fontId="8" fillId="10" borderId="0" xfId="0" applyFont="1" applyFill="1" applyBorder="1" applyAlignment="1">
      <alignment horizontal="center" vertical="center"/>
    </xf>
    <xf numFmtId="176" fontId="8" fillId="10" borderId="0" xfId="0" applyNumberFormat="1" applyFont="1" applyFill="1" applyBorder="1" applyAlignment="1"/>
    <xf numFmtId="177" fontId="8" fillId="10" borderId="0" xfId="0" applyNumberFormat="1" applyFont="1" applyFill="1" applyBorder="1" applyAlignment="1"/>
    <xf numFmtId="9" fontId="8" fillId="10" borderId="0" xfId="0" applyNumberFormat="1" applyFont="1" applyFill="1" applyBorder="1" applyAlignment="1"/>
    <xf numFmtId="176" fontId="8" fillId="10" borderId="0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21" fillId="0" borderId="0" xfId="0" applyFo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6" borderId="6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176" fontId="3" fillId="3" borderId="12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vertical="center"/>
    </xf>
    <xf numFmtId="176" fontId="3" fillId="6" borderId="1" xfId="0" applyNumberFormat="1" applyFont="1" applyFill="1" applyBorder="1" applyAlignment="1">
      <alignment horizontal="right" vertical="center"/>
    </xf>
    <xf numFmtId="176" fontId="3" fillId="6" borderId="17" xfId="0" applyNumberFormat="1" applyFont="1" applyFill="1" applyBorder="1" applyAlignment="1">
      <alignment horizontal="right" vertical="center"/>
    </xf>
    <xf numFmtId="176" fontId="3" fillId="6" borderId="12" xfId="0" applyNumberFormat="1" applyFont="1" applyFill="1" applyBorder="1" applyAlignment="1">
      <alignment horizontal="right" vertical="center"/>
    </xf>
    <xf numFmtId="9" fontId="3" fillId="3" borderId="1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3" fillId="0" borderId="12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right" vertical="center"/>
    </xf>
    <xf numFmtId="176" fontId="3" fillId="7" borderId="17" xfId="0" applyNumberFormat="1" applyFont="1" applyFill="1" applyBorder="1" applyAlignment="1">
      <alignment horizontal="right" vertical="center"/>
    </xf>
    <xf numFmtId="176" fontId="3" fillId="7" borderId="26" xfId="0" applyNumberFormat="1" applyFont="1" applyFill="1" applyBorder="1" applyAlignment="1">
      <alignment horizontal="right" vertical="center"/>
    </xf>
    <xf numFmtId="176" fontId="3" fillId="7" borderId="13" xfId="0" applyNumberFormat="1" applyFont="1" applyFill="1" applyBorder="1" applyAlignment="1">
      <alignment horizontal="right" vertical="center"/>
    </xf>
    <xf numFmtId="9" fontId="3" fillId="7" borderId="6" xfId="0" applyNumberFormat="1" applyFont="1" applyFill="1" applyBorder="1" applyAlignment="1">
      <alignment horizontal="center" vertical="center"/>
    </xf>
    <xf numFmtId="9" fontId="3" fillId="7" borderId="7" xfId="0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9" fontId="3" fillId="6" borderId="6" xfId="0" applyNumberFormat="1" applyFont="1" applyFill="1" applyBorder="1" applyAlignment="1">
      <alignment horizontal="center" vertical="center"/>
    </xf>
    <xf numFmtId="9" fontId="3" fillId="6" borderId="7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18" fillId="8" borderId="6" xfId="0" applyFont="1" applyFill="1" applyBorder="1" applyAlignment="1">
      <alignment horizontal="right" vertical="center"/>
    </xf>
    <xf numFmtId="0" fontId="18" fillId="8" borderId="11" xfId="0" applyFont="1" applyFill="1" applyBorder="1" applyAlignment="1">
      <alignment horizontal="right" vertical="center"/>
    </xf>
    <xf numFmtId="0" fontId="18" fillId="8" borderId="7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9" fontId="3" fillId="3" borderId="6" xfId="0" applyNumberFormat="1" applyFont="1" applyFill="1" applyBorder="1" applyAlignment="1">
      <alignment horizontal="right" vertical="center"/>
    </xf>
    <xf numFmtId="9" fontId="3" fillId="3" borderId="11" xfId="0" applyNumberFormat="1" applyFont="1" applyFill="1" applyBorder="1" applyAlignment="1">
      <alignment horizontal="right" vertical="center"/>
    </xf>
    <xf numFmtId="9" fontId="3" fillId="3" borderId="7" xfId="0" applyNumberFormat="1" applyFont="1" applyFill="1" applyBorder="1" applyAlignment="1">
      <alignment horizontal="right" vertical="center"/>
    </xf>
    <xf numFmtId="9" fontId="3" fillId="8" borderId="6" xfId="0" applyNumberFormat="1" applyFont="1" applyFill="1" applyBorder="1" applyAlignment="1">
      <alignment horizontal="right" vertical="center"/>
    </xf>
    <xf numFmtId="9" fontId="3" fillId="8" borderId="11" xfId="0" applyNumberFormat="1" applyFont="1" applyFill="1" applyBorder="1" applyAlignment="1">
      <alignment horizontal="right" vertical="center"/>
    </xf>
    <xf numFmtId="9" fontId="3" fillId="8" borderId="7" xfId="0" applyNumberFormat="1" applyFont="1" applyFill="1" applyBorder="1" applyAlignment="1">
      <alignment horizontal="right" vertical="center"/>
    </xf>
    <xf numFmtId="176" fontId="3" fillId="6" borderId="2" xfId="0" applyNumberFormat="1" applyFont="1" applyFill="1" applyBorder="1" applyAlignment="1">
      <alignment horizontal="right" vertical="center"/>
    </xf>
    <xf numFmtId="176" fontId="3" fillId="6" borderId="5" xfId="0" applyNumberFormat="1" applyFont="1" applyFill="1" applyBorder="1" applyAlignment="1">
      <alignment horizontal="right" vertical="center"/>
    </xf>
    <xf numFmtId="176" fontId="3" fillId="3" borderId="17" xfId="0" applyNumberFormat="1" applyFont="1" applyFill="1" applyBorder="1" applyAlignment="1">
      <alignment horizontal="right" vertical="center"/>
    </xf>
    <xf numFmtId="0" fontId="18" fillId="6" borderId="6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176" fontId="18" fillId="8" borderId="6" xfId="0" applyNumberFormat="1" applyFont="1" applyFill="1" applyBorder="1" applyAlignment="1">
      <alignment horizontal="right" vertical="center"/>
    </xf>
    <xf numFmtId="176" fontId="18" fillId="8" borderId="11" xfId="0" applyNumberFormat="1" applyFont="1" applyFill="1" applyBorder="1" applyAlignment="1">
      <alignment horizontal="right" vertical="center"/>
    </xf>
    <xf numFmtId="176" fontId="18" fillId="8" borderId="7" xfId="0" applyNumberFormat="1" applyFont="1" applyFill="1" applyBorder="1" applyAlignment="1">
      <alignment horizontal="right" vertical="center"/>
    </xf>
    <xf numFmtId="0" fontId="18" fillId="6" borderId="6" xfId="0" applyFont="1" applyFill="1" applyBorder="1" applyAlignment="1">
      <alignment horizontal="center" vertical="center" shrinkToFit="1"/>
    </xf>
    <xf numFmtId="0" fontId="18" fillId="6" borderId="11" xfId="0" applyFont="1" applyFill="1" applyBorder="1" applyAlignment="1">
      <alignment horizontal="center" vertical="center" shrinkToFit="1"/>
    </xf>
    <xf numFmtId="0" fontId="18" fillId="6" borderId="7" xfId="0" applyFont="1" applyFill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9" fontId="18" fillId="8" borderId="6" xfId="0" applyNumberFormat="1" applyFont="1" applyFill="1" applyBorder="1" applyAlignment="1">
      <alignment horizontal="right" vertical="center"/>
    </xf>
    <xf numFmtId="9" fontId="18" fillId="8" borderId="11" xfId="0" applyNumberFormat="1" applyFont="1" applyFill="1" applyBorder="1" applyAlignment="1">
      <alignment horizontal="right" vertical="center"/>
    </xf>
    <xf numFmtId="9" fontId="18" fillId="8" borderId="7" xfId="0" applyNumberFormat="1" applyFont="1" applyFill="1" applyBorder="1" applyAlignment="1">
      <alignment horizontal="right" vertical="center"/>
    </xf>
    <xf numFmtId="176" fontId="19" fillId="8" borderId="6" xfId="0" applyNumberFormat="1" applyFont="1" applyFill="1" applyBorder="1" applyAlignment="1">
      <alignment horizontal="right" vertical="center"/>
    </xf>
    <xf numFmtId="176" fontId="19" fillId="8" borderId="11" xfId="0" applyNumberFormat="1" applyFont="1" applyFill="1" applyBorder="1" applyAlignment="1">
      <alignment horizontal="right" vertical="center"/>
    </xf>
    <xf numFmtId="176" fontId="19" fillId="8" borderId="7" xfId="0" applyNumberFormat="1" applyFont="1" applyFill="1" applyBorder="1" applyAlignment="1">
      <alignment horizontal="right" vertical="center"/>
    </xf>
    <xf numFmtId="0" fontId="1" fillId="8" borderId="6" xfId="0" applyFont="1" applyFill="1" applyBorder="1" applyAlignment="1">
      <alignment horizontal="right" vertical="center"/>
    </xf>
    <xf numFmtId="0" fontId="1" fillId="8" borderId="7" xfId="0" applyFont="1" applyFill="1" applyBorder="1" applyAlignment="1">
      <alignment horizontal="right" vertical="center"/>
    </xf>
    <xf numFmtId="176" fontId="6" fillId="8" borderId="6" xfId="0" applyNumberFormat="1" applyFont="1" applyFill="1" applyBorder="1" applyAlignment="1">
      <alignment horizontal="right" vertical="center"/>
    </xf>
    <xf numFmtId="0" fontId="6" fillId="8" borderId="11" xfId="0" applyFont="1" applyFill="1" applyBorder="1" applyAlignment="1">
      <alignment horizontal="right" vertical="center"/>
    </xf>
    <xf numFmtId="0" fontId="6" fillId="8" borderId="7" xfId="0" applyFont="1" applyFill="1" applyBorder="1" applyAlignment="1">
      <alignment horizontal="right" vertical="center"/>
    </xf>
    <xf numFmtId="176" fontId="20" fillId="5" borderId="6" xfId="0" applyNumberFormat="1" applyFont="1" applyFill="1" applyBorder="1" applyAlignment="1">
      <alignment horizontal="center"/>
    </xf>
    <xf numFmtId="176" fontId="20" fillId="5" borderId="11" xfId="0" applyNumberFormat="1" applyFont="1" applyFill="1" applyBorder="1" applyAlignment="1">
      <alignment horizontal="center"/>
    </xf>
    <xf numFmtId="176" fontId="20" fillId="5" borderId="7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4" borderId="9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center" vertical="top"/>
    </xf>
    <xf numFmtId="0" fontId="6" fillId="4" borderId="20" xfId="0" applyFont="1" applyFill="1" applyBorder="1" applyAlignment="1">
      <alignment horizontal="left" vertical="top" wrapText="1"/>
    </xf>
    <xf numFmtId="0" fontId="6" fillId="4" borderId="19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177" fontId="4" fillId="2" borderId="7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 shrinkToFit="1"/>
    </xf>
    <xf numFmtId="0" fontId="5" fillId="11" borderId="12" xfId="0" applyFont="1" applyFill="1" applyBorder="1" applyAlignment="1">
      <alignment horizontal="center" vertical="center" wrapText="1" shrinkToFit="1"/>
    </xf>
    <xf numFmtId="176" fontId="4" fillId="11" borderId="12" xfId="0" applyNumberFormat="1" applyFont="1" applyFill="1" applyBorder="1" applyAlignment="1">
      <alignment shrinkToFit="1"/>
    </xf>
    <xf numFmtId="176" fontId="4" fillId="11" borderId="17" xfId="0" applyNumberFormat="1" applyFont="1" applyFill="1" applyBorder="1" applyAlignment="1">
      <alignment shrinkToFit="1"/>
    </xf>
    <xf numFmtId="177" fontId="11" fillId="11" borderId="8" xfId="0" applyNumberFormat="1" applyFont="1" applyFill="1" applyBorder="1" applyAlignment="1">
      <alignment shrinkToFit="1"/>
    </xf>
    <xf numFmtId="176" fontId="6" fillId="11" borderId="8" xfId="0" applyNumberFormat="1" applyFont="1" applyFill="1" applyBorder="1" applyAlignment="1">
      <alignment shrinkToFit="1"/>
    </xf>
    <xf numFmtId="176" fontId="4" fillId="11" borderId="17" xfId="0" applyNumberFormat="1" applyFont="1" applyFill="1" applyBorder="1" applyAlignment="1">
      <alignment vertical="center" shrinkToFit="1"/>
    </xf>
    <xf numFmtId="177" fontId="4" fillId="12" borderId="6" xfId="0" applyNumberFormat="1" applyFont="1" applyFill="1" applyBorder="1" applyAlignment="1">
      <alignment horizontal="center" vertical="center"/>
    </xf>
    <xf numFmtId="176" fontId="4" fillId="12" borderId="12" xfId="0" applyNumberFormat="1" applyFont="1" applyFill="1" applyBorder="1" applyAlignment="1">
      <alignment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ECFF"/>
      <color rgb="FF66FFFF"/>
      <color rgb="FFFF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5</xdr:row>
      <xdr:rowOff>68580</xdr:rowOff>
    </xdr:from>
    <xdr:to>
      <xdr:col>9</xdr:col>
      <xdr:colOff>640080</xdr:colOff>
      <xdr:row>7</xdr:row>
      <xdr:rowOff>152400</xdr:rowOff>
    </xdr:to>
    <xdr:cxnSp macro="">
      <xdr:nvCxnSpPr>
        <xdr:cNvPr id="3" name="カギ線コネクタ 2"/>
        <xdr:cNvCxnSpPr/>
      </xdr:nvCxnSpPr>
      <xdr:spPr>
        <a:xfrm rot="5400000">
          <a:off x="4819650" y="1207770"/>
          <a:ext cx="434340" cy="259080"/>
        </a:xfrm>
        <a:prstGeom prst="bentConnector3">
          <a:avLst>
            <a:gd name="adj1" fmla="val -877"/>
          </a:avLst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22</xdr:row>
      <xdr:rowOff>68580</xdr:rowOff>
    </xdr:from>
    <xdr:to>
      <xdr:col>9</xdr:col>
      <xdr:colOff>640080</xdr:colOff>
      <xdr:row>24</xdr:row>
      <xdr:rowOff>152400</xdr:rowOff>
    </xdr:to>
    <xdr:cxnSp macro="">
      <xdr:nvCxnSpPr>
        <xdr:cNvPr id="5" name="カギ線コネクタ 4"/>
        <xdr:cNvCxnSpPr/>
      </xdr:nvCxnSpPr>
      <xdr:spPr>
        <a:xfrm rot="5400000">
          <a:off x="4819650" y="1207770"/>
          <a:ext cx="434340" cy="259080"/>
        </a:xfrm>
        <a:prstGeom prst="bentConnector3">
          <a:avLst>
            <a:gd name="adj1" fmla="val -877"/>
          </a:avLst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358140</xdr:colOff>
      <xdr:row>40</xdr:row>
      <xdr:rowOff>99060</xdr:rowOff>
    </xdr:from>
    <xdr:to>
      <xdr:col>10</xdr:col>
      <xdr:colOff>655320</xdr:colOff>
      <xdr:row>40</xdr:row>
      <xdr:rowOff>99060</xdr:rowOff>
    </xdr:to>
    <xdr:cxnSp macro="">
      <xdr:nvCxnSpPr>
        <xdr:cNvPr id="10" name="直線コネクタ 9"/>
        <xdr:cNvCxnSpPr/>
      </xdr:nvCxnSpPr>
      <xdr:spPr>
        <a:xfrm flipH="1">
          <a:off x="5547360" y="8435340"/>
          <a:ext cx="297180" cy="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350520</xdr:colOff>
      <xdr:row>40</xdr:row>
      <xdr:rowOff>106680</xdr:rowOff>
    </xdr:from>
    <xdr:to>
      <xdr:col>10</xdr:col>
      <xdr:colOff>350520</xdr:colOff>
      <xdr:row>41</xdr:row>
      <xdr:rowOff>45720</xdr:rowOff>
    </xdr:to>
    <xdr:cxnSp macro="">
      <xdr:nvCxnSpPr>
        <xdr:cNvPr id="13" name="直線矢印コネクタ 12"/>
        <xdr:cNvCxnSpPr/>
      </xdr:nvCxnSpPr>
      <xdr:spPr>
        <a:xfrm>
          <a:off x="5539740" y="8442960"/>
          <a:ext cx="0" cy="12954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bama/Documents/&#9734;&#20104;&#31639;&#20250;&#35336;&#26360;&#31821;/&#25913;&#35330;&#29256;&#12300;&#20104;&#31639;&#20250;&#35336;&#12301;/&#9734;&#25913;&#35330;&#22679;&#35036;&#12300;&#20104;&#31639;&#20250;&#35336;&#12301;&#28436;&#32722;&#29256;/&#26032;&#65306;&#25913;&#35330;&#22679;&#35036;&#29256;/EXCEL&#40165;&#30640;&#22259;&#65286;&#38306;&#36899;&#20104;&#31639;&#36039;&#26009;&#65288;&#22770;&#19978;&#39640;&#38306;&#20418;&#65289;/&#31532;&#65298;&#22238;/&#37197;&#20449;&#29992;&#12304;&#20104;&#31639;&#20250;&#35336;&#20250;&#21729;&#29992;&#12305;&#36039;&#26009;&#65326;&#65327;&#65294;&#65298;&#65306;&#20104;&#31639;&#34920;&#65288;&#22770;&#19978;&#39640;&#12539;&#22770;&#25499;&#37329;&#38306;&#20418;&#38306;&#2041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実績予想売上関係"/>
      <sheetName val="2実績予想損益計算書等"/>
      <sheetName val="3実績予想在庫計画書"/>
      <sheetName val="4実績予想売上代金回収関係"/>
      <sheetName val="5実績予想消費税等"/>
      <sheetName val="6実績予想資計・ＦＳ"/>
      <sheetName val="7実績予想CF等"/>
    </sheetNames>
    <sheetDataSet>
      <sheetData sheetId="0"/>
      <sheetData sheetId="1"/>
      <sheetData sheetId="2"/>
      <sheetData sheetId="3">
        <row r="84">
          <cell r="I84">
            <v>0</v>
          </cell>
        </row>
        <row r="85">
          <cell r="I85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X56"/>
  <sheetViews>
    <sheetView topLeftCell="C18" workbookViewId="0">
      <selection activeCell="C36" sqref="C36:X36"/>
    </sheetView>
  </sheetViews>
  <sheetFormatPr defaultRowHeight="13.5" x14ac:dyDescent="0.15"/>
  <cols>
    <col min="3" max="3" width="2.75" customWidth="1"/>
    <col min="4" max="4" width="19.125" customWidth="1"/>
    <col min="5" max="6" width="4.875" customWidth="1"/>
    <col min="7" max="8" width="3.5" customWidth="1"/>
    <col min="9" max="9" width="10.5" customWidth="1"/>
    <col min="10" max="10" width="10.875" customWidth="1"/>
    <col min="11" max="14" width="11.125" customWidth="1"/>
    <col min="15" max="15" width="12.75" customWidth="1"/>
    <col min="16" max="16" width="10.125" customWidth="1"/>
    <col min="17" max="17" width="9.875" customWidth="1"/>
    <col min="18" max="18" width="15.875" customWidth="1"/>
    <col min="19" max="19" width="11.25" customWidth="1"/>
    <col min="20" max="20" width="4.25" customWidth="1"/>
    <col min="21" max="21" width="9.75" customWidth="1"/>
    <col min="22" max="22" width="17.625" customWidth="1"/>
    <col min="23" max="23" width="23.75" customWidth="1"/>
    <col min="24" max="24" width="22.75" customWidth="1"/>
  </cols>
  <sheetData>
    <row r="2" spans="3:24" ht="24" x14ac:dyDescent="0.15">
      <c r="C2" s="145" t="s">
        <v>337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</row>
    <row r="3" spans="3:24" ht="2.4500000000000002" customHeight="1" thickBot="1" x14ac:dyDescent="0.2"/>
    <row r="4" spans="3:24" ht="18" thickBot="1" x14ac:dyDescent="0.2">
      <c r="D4" s="1" t="s">
        <v>99</v>
      </c>
      <c r="E4" s="146" t="s">
        <v>100</v>
      </c>
      <c r="F4" s="147"/>
      <c r="G4" s="147"/>
      <c r="H4" s="148"/>
      <c r="I4" s="149"/>
      <c r="J4" s="2"/>
      <c r="T4" s="143" t="s">
        <v>101</v>
      </c>
      <c r="U4" s="144"/>
      <c r="V4" s="3" t="s">
        <v>102</v>
      </c>
      <c r="W4" s="3" t="s">
        <v>103</v>
      </c>
      <c r="X4" s="3" t="s">
        <v>104</v>
      </c>
    </row>
    <row r="5" spans="3:24" ht="18" thickBot="1" x14ac:dyDescent="0.2">
      <c r="D5" s="1" t="s">
        <v>105</v>
      </c>
      <c r="E5" s="146" t="s">
        <v>106</v>
      </c>
      <c r="F5" s="147"/>
      <c r="G5" s="147"/>
      <c r="H5" s="148"/>
      <c r="I5" s="149"/>
      <c r="J5" s="2"/>
      <c r="T5" s="143" t="s">
        <v>107</v>
      </c>
      <c r="U5" s="144"/>
      <c r="V5" s="3" t="s">
        <v>108</v>
      </c>
      <c r="W5" s="3" t="s">
        <v>109</v>
      </c>
      <c r="X5" s="3" t="s">
        <v>99</v>
      </c>
    </row>
    <row r="6" spans="3:24" ht="14.25" thickBot="1" x14ac:dyDescent="0.2">
      <c r="D6" s="4" t="s">
        <v>110</v>
      </c>
      <c r="E6" s="142" t="s">
        <v>111</v>
      </c>
      <c r="F6" s="142"/>
      <c r="G6" s="142"/>
      <c r="H6" s="142"/>
      <c r="I6" s="142"/>
      <c r="J6" s="2"/>
      <c r="T6" s="143" t="s">
        <v>112</v>
      </c>
      <c r="U6" s="144"/>
      <c r="V6" s="3" t="s">
        <v>113</v>
      </c>
      <c r="W6" s="3" t="s">
        <v>113</v>
      </c>
      <c r="X6" s="53" t="str">
        <f>+E4</f>
        <v>田辺雄一</v>
      </c>
    </row>
    <row r="7" spans="3:24" ht="14.25" thickBot="1" x14ac:dyDescent="0.2">
      <c r="D7" s="150" t="s">
        <v>114</v>
      </c>
      <c r="E7" s="151"/>
      <c r="F7" s="151"/>
      <c r="G7" s="151"/>
      <c r="H7" s="151"/>
      <c r="I7" s="152"/>
      <c r="J7" s="2"/>
      <c r="T7" s="143" t="s">
        <v>115</v>
      </c>
      <c r="U7" s="144"/>
      <c r="V7" s="3" t="s">
        <v>116</v>
      </c>
      <c r="W7" s="3" t="s">
        <v>116</v>
      </c>
      <c r="X7" s="3" t="s">
        <v>116</v>
      </c>
    </row>
    <row r="9" spans="3:24" x14ac:dyDescent="0.15">
      <c r="C9" s="153" t="s">
        <v>117</v>
      </c>
      <c r="D9" s="156" t="s">
        <v>118</v>
      </c>
      <c r="E9" s="159" t="s">
        <v>119</v>
      </c>
      <c r="F9" s="159" t="s">
        <v>120</v>
      </c>
      <c r="G9" s="153" t="s">
        <v>121</v>
      </c>
      <c r="H9" s="153" t="s">
        <v>122</v>
      </c>
      <c r="I9" s="153" t="s">
        <v>123</v>
      </c>
      <c r="J9" s="153" t="s">
        <v>124</v>
      </c>
      <c r="K9" s="5" t="s">
        <v>125</v>
      </c>
      <c r="L9" s="5" t="s">
        <v>126</v>
      </c>
      <c r="M9" s="5" t="s">
        <v>126</v>
      </c>
      <c r="N9" s="5" t="s">
        <v>126</v>
      </c>
      <c r="O9" s="153" t="s">
        <v>127</v>
      </c>
      <c r="P9" s="153" t="s">
        <v>128</v>
      </c>
      <c r="Q9" s="153" t="s">
        <v>129</v>
      </c>
      <c r="R9" s="153" t="s">
        <v>130</v>
      </c>
      <c r="S9" s="153" t="s">
        <v>131</v>
      </c>
      <c r="T9" s="162" t="s">
        <v>132</v>
      </c>
      <c r="U9" s="163"/>
      <c r="V9" s="163"/>
      <c r="W9" s="163"/>
      <c r="X9" s="164"/>
    </row>
    <row r="10" spans="3:24" x14ac:dyDescent="0.15">
      <c r="C10" s="154"/>
      <c r="D10" s="157"/>
      <c r="E10" s="160"/>
      <c r="F10" s="160"/>
      <c r="G10" s="157"/>
      <c r="H10" s="157"/>
      <c r="I10" s="157"/>
      <c r="J10" s="157"/>
      <c r="K10" s="5" t="s">
        <v>133</v>
      </c>
      <c r="L10" s="5" t="s">
        <v>134</v>
      </c>
      <c r="M10" s="5" t="s">
        <v>135</v>
      </c>
      <c r="N10" s="5" t="s">
        <v>136</v>
      </c>
      <c r="O10" s="154"/>
      <c r="P10" s="154"/>
      <c r="Q10" s="154"/>
      <c r="R10" s="154"/>
      <c r="S10" s="154"/>
      <c r="T10" s="165"/>
      <c r="U10" s="166"/>
      <c r="V10" s="166"/>
      <c r="W10" s="166"/>
      <c r="X10" s="167"/>
    </row>
    <row r="11" spans="3:24" x14ac:dyDescent="0.15">
      <c r="C11" s="155"/>
      <c r="D11" s="158"/>
      <c r="E11" s="161"/>
      <c r="F11" s="161"/>
      <c r="G11" s="158"/>
      <c r="H11" s="158"/>
      <c r="I11" s="158"/>
      <c r="J11" s="158"/>
      <c r="K11" s="5" t="s">
        <v>137</v>
      </c>
      <c r="L11" s="5" t="s">
        <v>138</v>
      </c>
      <c r="M11" s="5" t="s">
        <v>138</v>
      </c>
      <c r="N11" s="5" t="s">
        <v>138</v>
      </c>
      <c r="O11" s="155"/>
      <c r="P11" s="155"/>
      <c r="Q11" s="155"/>
      <c r="R11" s="155"/>
      <c r="S11" s="155"/>
      <c r="T11" s="168"/>
      <c r="U11" s="169"/>
      <c r="V11" s="169"/>
      <c r="W11" s="169"/>
      <c r="X11" s="170"/>
    </row>
    <row r="12" spans="3:24" ht="27" x14ac:dyDescent="0.15">
      <c r="C12" s="6"/>
      <c r="D12" s="6"/>
      <c r="E12" s="6"/>
      <c r="F12" s="6"/>
      <c r="G12" s="6"/>
      <c r="H12" s="6"/>
      <c r="I12" s="7" t="s">
        <v>139</v>
      </c>
      <c r="J12" s="7" t="s">
        <v>140</v>
      </c>
      <c r="K12" s="7" t="s">
        <v>141</v>
      </c>
      <c r="L12" s="7" t="s">
        <v>142</v>
      </c>
      <c r="M12" s="7" t="s">
        <v>143</v>
      </c>
      <c r="N12" s="7" t="s">
        <v>144</v>
      </c>
      <c r="O12" s="8" t="s">
        <v>145</v>
      </c>
      <c r="P12" s="9" t="s">
        <v>146</v>
      </c>
      <c r="Q12" s="9" t="s">
        <v>147</v>
      </c>
      <c r="R12" s="7" t="s">
        <v>148</v>
      </c>
      <c r="S12" s="9" t="s">
        <v>149</v>
      </c>
      <c r="T12" s="54" t="s">
        <v>117</v>
      </c>
      <c r="U12" s="7" t="s">
        <v>150</v>
      </c>
      <c r="V12" s="7" t="s">
        <v>151</v>
      </c>
      <c r="W12" s="7" t="s">
        <v>152</v>
      </c>
      <c r="X12" s="7" t="s">
        <v>153</v>
      </c>
    </row>
    <row r="13" spans="3:24" ht="1.9" customHeight="1" thickBot="1" x14ac:dyDescent="0.2">
      <c r="C13" s="6"/>
      <c r="D13" s="10"/>
      <c r="E13" s="6"/>
      <c r="F13" s="6"/>
      <c r="G13" s="6"/>
      <c r="H13" s="6"/>
      <c r="I13" s="6"/>
      <c r="J13" s="6"/>
      <c r="K13" s="6"/>
      <c r="L13" s="6"/>
      <c r="M13" s="6"/>
      <c r="N13" s="6"/>
      <c r="O13" s="10"/>
      <c r="P13" s="6"/>
      <c r="Q13" s="6"/>
      <c r="R13" s="10"/>
      <c r="S13" s="10"/>
      <c r="T13" s="6"/>
      <c r="U13" s="6"/>
      <c r="V13" s="6"/>
      <c r="W13" s="6"/>
      <c r="X13" s="6"/>
    </row>
    <row r="14" spans="3:24" ht="27.75" thickBot="1" x14ac:dyDescent="0.25">
      <c r="C14" s="55" t="s">
        <v>154</v>
      </c>
      <c r="D14" s="56" t="s">
        <v>155</v>
      </c>
      <c r="E14" s="57" t="s">
        <v>156</v>
      </c>
      <c r="F14" s="58" t="s">
        <v>157</v>
      </c>
      <c r="G14" s="58"/>
      <c r="H14" s="58"/>
      <c r="I14" s="59"/>
      <c r="J14" s="59">
        <v>1050</v>
      </c>
      <c r="K14" s="59">
        <v>625</v>
      </c>
      <c r="L14" s="59">
        <v>19</v>
      </c>
      <c r="M14" s="59">
        <v>37</v>
      </c>
      <c r="N14" s="60">
        <v>19</v>
      </c>
      <c r="O14" s="61">
        <f>SUM(K14:N14)</f>
        <v>700</v>
      </c>
      <c r="P14" s="62" t="str">
        <f>IF(I14="","",+O14-I14)</f>
        <v/>
      </c>
      <c r="Q14" s="63" t="str">
        <f>IF(OR(I14="",P14=""),"",ROUND(P14/I14,3))</f>
        <v/>
      </c>
      <c r="R14" s="64">
        <f>+O14-J14</f>
        <v>-350</v>
      </c>
      <c r="S14" s="65">
        <f>IF(OR(J14="",R14=""),"",ROUND(R14/J14,2))</f>
        <v>-0.33</v>
      </c>
      <c r="T14" s="66">
        <v>1</v>
      </c>
      <c r="U14" s="67" t="s">
        <v>158</v>
      </c>
      <c r="V14" s="68" t="s">
        <v>159</v>
      </c>
      <c r="W14" s="69" t="s">
        <v>160</v>
      </c>
      <c r="X14" s="69" t="s">
        <v>161</v>
      </c>
    </row>
    <row r="15" spans="3:24" ht="36.6" customHeight="1" thickBot="1" x14ac:dyDescent="0.25">
      <c r="C15" s="55" t="s">
        <v>162</v>
      </c>
      <c r="D15" s="56" t="s">
        <v>163</v>
      </c>
      <c r="E15" s="57" t="s">
        <v>164</v>
      </c>
      <c r="F15" s="58" t="s">
        <v>165</v>
      </c>
      <c r="G15" s="58"/>
      <c r="H15" s="58"/>
      <c r="I15" s="70" t="str">
        <f>IF(OR(I14="",I14=0),"",ROUND(I17/I14,0))</f>
        <v/>
      </c>
      <c r="J15" s="70">
        <f>IF(OR(J14="",J14=0),"",ROUND(J17/J14,0))</f>
        <v>110</v>
      </c>
      <c r="K15" s="70">
        <f>IF(OR(K14="",K14=0),"",ROUND(K17/K14,0))</f>
        <v>100</v>
      </c>
      <c r="L15" s="59">
        <v>99</v>
      </c>
      <c r="M15" s="59">
        <v>100</v>
      </c>
      <c r="N15" s="59">
        <v>101</v>
      </c>
      <c r="O15" s="71">
        <f>IF(OR(O14="",O14=0),"",ROUND(O17/O14,0))</f>
        <v>100</v>
      </c>
      <c r="P15" s="62" t="str">
        <f>IF(I15="","",+O15-I15)</f>
        <v/>
      </c>
      <c r="Q15" s="72" t="str">
        <f>IF(OR(I15="",P15=""),"",ROUND(P15/I15,3))</f>
        <v/>
      </c>
      <c r="R15" s="64">
        <f>+O15-J15</f>
        <v>-10</v>
      </c>
      <c r="S15" s="65">
        <f>IF(OR(J15="",R15=""),"",ROUND(R15/J15,2))</f>
        <v>-0.09</v>
      </c>
      <c r="T15" s="66">
        <v>1</v>
      </c>
      <c r="U15" s="67" t="s">
        <v>158</v>
      </c>
      <c r="V15" s="73" t="s">
        <v>166</v>
      </c>
      <c r="W15" s="74" t="s">
        <v>167</v>
      </c>
      <c r="X15" s="69" t="s">
        <v>168</v>
      </c>
    </row>
    <row r="16" spans="3:24" ht="14.25" thickBot="1" x14ac:dyDescent="0.2">
      <c r="C16" s="75" t="s">
        <v>169</v>
      </c>
      <c r="D16" s="76" t="s">
        <v>170</v>
      </c>
      <c r="E16" s="58" t="s">
        <v>164</v>
      </c>
      <c r="F16" s="58" t="s">
        <v>165</v>
      </c>
      <c r="G16" s="58"/>
      <c r="H16" s="58"/>
      <c r="I16" s="77"/>
      <c r="J16" s="77"/>
      <c r="K16" s="77"/>
      <c r="L16" s="78"/>
      <c r="M16" s="78"/>
      <c r="N16" s="78"/>
      <c r="O16" s="77"/>
      <c r="P16" s="77"/>
      <c r="Q16" s="77"/>
      <c r="R16" s="79"/>
      <c r="S16" s="77"/>
      <c r="T16" s="77"/>
      <c r="U16" s="77"/>
      <c r="V16" s="77"/>
      <c r="W16" s="77"/>
      <c r="X16" s="77"/>
    </row>
    <row r="17" spans="3:24" ht="35.25" thickBot="1" x14ac:dyDescent="0.25">
      <c r="C17" s="55" t="s">
        <v>171</v>
      </c>
      <c r="D17" s="80" t="s">
        <v>172</v>
      </c>
      <c r="E17" s="57" t="s">
        <v>164</v>
      </c>
      <c r="F17" s="58" t="s">
        <v>165</v>
      </c>
      <c r="G17" s="58" t="s">
        <v>173</v>
      </c>
      <c r="H17" s="81" t="s">
        <v>122</v>
      </c>
      <c r="I17" s="59"/>
      <c r="J17" s="59">
        <v>115500</v>
      </c>
      <c r="K17" s="59">
        <v>62500</v>
      </c>
      <c r="L17" s="70">
        <f>IF(OR(L14="",L15=""),"",ROUND(L14*L15,0)+L16)</f>
        <v>1881</v>
      </c>
      <c r="M17" s="70">
        <f>IF(OR(M14="",M15=""),"",ROUND(M14*M15,0)+M16)</f>
        <v>3700</v>
      </c>
      <c r="N17" s="70">
        <f>IF(OR(N14="",N15=""),"",ROUND(N14*N15,0)+N16)</f>
        <v>1919</v>
      </c>
      <c r="O17" s="61">
        <f>SUM(K17:N17)</f>
        <v>70000</v>
      </c>
      <c r="P17" s="82" t="str">
        <f>IF(I17="","",+O17-I17)</f>
        <v/>
      </c>
      <c r="Q17" s="83" t="str">
        <f>IF(OR(I17="",P17=""),"",ROUND(P17/I17,3))</f>
        <v/>
      </c>
      <c r="R17" s="64">
        <f>+O17-J17</f>
        <v>-45500</v>
      </c>
      <c r="S17" s="65">
        <f>IF(OR(J17="",R17=""),"",ROUND(R17/J17,2))</f>
        <v>-0.39</v>
      </c>
      <c r="T17" s="77"/>
      <c r="U17" s="84" t="s">
        <v>174</v>
      </c>
      <c r="V17" s="84" t="s">
        <v>174</v>
      </c>
      <c r="W17" s="84" t="s">
        <v>174</v>
      </c>
      <c r="X17" s="84" t="s">
        <v>174</v>
      </c>
    </row>
    <row r="19" spans="3:24" ht="24" x14ac:dyDescent="0.15">
      <c r="C19" s="145" t="s">
        <v>338</v>
      </c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</row>
    <row r="20" spans="3:24" ht="1.9" customHeight="1" thickBot="1" x14ac:dyDescent="0.2"/>
    <row r="21" spans="3:24" ht="18" thickBot="1" x14ac:dyDescent="0.2">
      <c r="D21" s="1" t="s">
        <v>99</v>
      </c>
      <c r="E21" s="146" t="s">
        <v>175</v>
      </c>
      <c r="F21" s="147"/>
      <c r="G21" s="147"/>
      <c r="H21" s="148"/>
      <c r="I21" s="149"/>
      <c r="J21" s="2"/>
      <c r="T21" s="143" t="s">
        <v>101</v>
      </c>
      <c r="U21" s="144"/>
      <c r="V21" s="3" t="s">
        <v>102</v>
      </c>
      <c r="W21" s="3" t="s">
        <v>103</v>
      </c>
      <c r="X21" s="3" t="s">
        <v>104</v>
      </c>
    </row>
    <row r="22" spans="3:24" ht="18" thickBot="1" x14ac:dyDescent="0.2">
      <c r="D22" s="1" t="s">
        <v>105</v>
      </c>
      <c r="E22" s="146" t="s">
        <v>176</v>
      </c>
      <c r="F22" s="147"/>
      <c r="G22" s="147"/>
      <c r="H22" s="148"/>
      <c r="I22" s="149"/>
      <c r="J22" s="2"/>
      <c r="T22" s="143" t="s">
        <v>107</v>
      </c>
      <c r="U22" s="144"/>
      <c r="V22" s="3" t="s">
        <v>108</v>
      </c>
      <c r="W22" s="3" t="s">
        <v>109</v>
      </c>
      <c r="X22" s="3" t="s">
        <v>99</v>
      </c>
    </row>
    <row r="23" spans="3:24" ht="14.25" thickBot="1" x14ac:dyDescent="0.2">
      <c r="D23" s="4" t="s">
        <v>110</v>
      </c>
      <c r="E23" s="142" t="s">
        <v>111</v>
      </c>
      <c r="F23" s="142"/>
      <c r="G23" s="142"/>
      <c r="H23" s="142"/>
      <c r="I23" s="142"/>
      <c r="J23" s="2"/>
      <c r="T23" s="143" t="s">
        <v>112</v>
      </c>
      <c r="U23" s="144"/>
      <c r="V23" s="3" t="s">
        <v>113</v>
      </c>
      <c r="W23" s="3" t="s">
        <v>113</v>
      </c>
      <c r="X23" s="53" t="str">
        <f>+E21</f>
        <v>鈴木一也</v>
      </c>
    </row>
    <row r="24" spans="3:24" ht="14.25" thickBot="1" x14ac:dyDescent="0.2">
      <c r="D24" s="150" t="s">
        <v>114</v>
      </c>
      <c r="E24" s="151"/>
      <c r="F24" s="151"/>
      <c r="G24" s="151"/>
      <c r="H24" s="151"/>
      <c r="I24" s="152"/>
      <c r="J24" s="2"/>
      <c r="T24" s="143" t="s">
        <v>115</v>
      </c>
      <c r="U24" s="144"/>
      <c r="V24" s="3" t="s">
        <v>116</v>
      </c>
      <c r="W24" s="3" t="s">
        <v>116</v>
      </c>
      <c r="X24" s="3" t="s">
        <v>116</v>
      </c>
    </row>
    <row r="25" spans="3:24" ht="1.9" customHeight="1" x14ac:dyDescent="0.15"/>
    <row r="26" spans="3:24" x14ac:dyDescent="0.15">
      <c r="C26" s="153" t="s">
        <v>117</v>
      </c>
      <c r="D26" s="156" t="s">
        <v>118</v>
      </c>
      <c r="E26" s="159" t="s">
        <v>119</v>
      </c>
      <c r="F26" s="159" t="s">
        <v>120</v>
      </c>
      <c r="G26" s="153" t="s">
        <v>121</v>
      </c>
      <c r="H26" s="153" t="s">
        <v>122</v>
      </c>
      <c r="I26" s="153" t="s">
        <v>123</v>
      </c>
      <c r="J26" s="153" t="s">
        <v>124</v>
      </c>
      <c r="K26" s="5" t="s">
        <v>125</v>
      </c>
      <c r="L26" s="5" t="s">
        <v>126</v>
      </c>
      <c r="M26" s="5" t="s">
        <v>126</v>
      </c>
      <c r="N26" s="5" t="s">
        <v>126</v>
      </c>
      <c r="O26" s="153" t="s">
        <v>127</v>
      </c>
      <c r="P26" s="153" t="s">
        <v>128</v>
      </c>
      <c r="Q26" s="153" t="s">
        <v>129</v>
      </c>
      <c r="R26" s="153" t="s">
        <v>130</v>
      </c>
      <c r="S26" s="153" t="s">
        <v>131</v>
      </c>
      <c r="T26" s="162" t="s">
        <v>132</v>
      </c>
      <c r="U26" s="163"/>
      <c r="V26" s="163"/>
      <c r="W26" s="163"/>
      <c r="X26" s="164"/>
    </row>
    <row r="27" spans="3:24" x14ac:dyDescent="0.15">
      <c r="C27" s="154"/>
      <c r="D27" s="157"/>
      <c r="E27" s="160"/>
      <c r="F27" s="160"/>
      <c r="G27" s="157"/>
      <c r="H27" s="157"/>
      <c r="I27" s="157"/>
      <c r="J27" s="157"/>
      <c r="K27" s="5" t="s">
        <v>133</v>
      </c>
      <c r="L27" s="5" t="s">
        <v>134</v>
      </c>
      <c r="M27" s="5" t="s">
        <v>135</v>
      </c>
      <c r="N27" s="5" t="s">
        <v>136</v>
      </c>
      <c r="O27" s="154"/>
      <c r="P27" s="154"/>
      <c r="Q27" s="154"/>
      <c r="R27" s="154"/>
      <c r="S27" s="154"/>
      <c r="T27" s="165"/>
      <c r="U27" s="166"/>
      <c r="V27" s="166"/>
      <c r="W27" s="166"/>
      <c r="X27" s="167"/>
    </row>
    <row r="28" spans="3:24" x14ac:dyDescent="0.15">
      <c r="C28" s="155"/>
      <c r="D28" s="158"/>
      <c r="E28" s="161"/>
      <c r="F28" s="161"/>
      <c r="G28" s="158"/>
      <c r="H28" s="158"/>
      <c r="I28" s="158"/>
      <c r="J28" s="158"/>
      <c r="K28" s="5" t="s">
        <v>137</v>
      </c>
      <c r="L28" s="5" t="s">
        <v>138</v>
      </c>
      <c r="M28" s="5" t="s">
        <v>138</v>
      </c>
      <c r="N28" s="5" t="s">
        <v>138</v>
      </c>
      <c r="O28" s="155"/>
      <c r="P28" s="155"/>
      <c r="Q28" s="155"/>
      <c r="R28" s="155"/>
      <c r="S28" s="155"/>
      <c r="T28" s="168"/>
      <c r="U28" s="169"/>
      <c r="V28" s="169"/>
      <c r="W28" s="169"/>
      <c r="X28" s="170"/>
    </row>
    <row r="29" spans="3:24" ht="27" x14ac:dyDescent="0.15">
      <c r="C29" s="6"/>
      <c r="D29" s="6"/>
      <c r="E29" s="6"/>
      <c r="F29" s="6"/>
      <c r="G29" s="6"/>
      <c r="H29" s="6"/>
      <c r="I29" s="7" t="s">
        <v>139</v>
      </c>
      <c r="J29" s="7" t="s">
        <v>140</v>
      </c>
      <c r="K29" s="7" t="s">
        <v>141</v>
      </c>
      <c r="L29" s="7" t="s">
        <v>142</v>
      </c>
      <c r="M29" s="7" t="s">
        <v>143</v>
      </c>
      <c r="N29" s="7" t="s">
        <v>144</v>
      </c>
      <c r="O29" s="7" t="s">
        <v>177</v>
      </c>
      <c r="P29" s="9" t="s">
        <v>146</v>
      </c>
      <c r="Q29" s="9" t="s">
        <v>147</v>
      </c>
      <c r="R29" s="7" t="s">
        <v>148</v>
      </c>
      <c r="S29" s="9" t="s">
        <v>149</v>
      </c>
      <c r="T29" s="54" t="s">
        <v>117</v>
      </c>
      <c r="U29" s="7" t="s">
        <v>150</v>
      </c>
      <c r="V29" s="7" t="s">
        <v>151</v>
      </c>
      <c r="W29" s="7" t="s">
        <v>152</v>
      </c>
      <c r="X29" s="7" t="s">
        <v>153</v>
      </c>
    </row>
    <row r="30" spans="3:24" ht="1.9" customHeight="1" thickBot="1" x14ac:dyDescent="0.2">
      <c r="C30" s="6"/>
      <c r="D30" s="10"/>
      <c r="E30" s="6"/>
      <c r="F30" s="6"/>
      <c r="G30" s="6"/>
      <c r="H30" s="6"/>
      <c r="I30" s="6"/>
      <c r="J30" s="6"/>
      <c r="K30" s="6"/>
      <c r="L30" s="6"/>
      <c r="M30" s="6"/>
      <c r="N30" s="6"/>
      <c r="O30" s="10"/>
      <c r="P30" s="6"/>
      <c r="Q30" s="6"/>
      <c r="R30" s="10"/>
      <c r="S30" s="10"/>
      <c r="T30" s="6"/>
      <c r="U30" s="6"/>
      <c r="V30" s="6"/>
      <c r="W30" s="6"/>
      <c r="X30" s="6"/>
    </row>
    <row r="31" spans="3:24" ht="49.9" customHeight="1" thickBot="1" x14ac:dyDescent="0.25">
      <c r="C31" s="55" t="s">
        <v>154</v>
      </c>
      <c r="D31" s="56" t="s">
        <v>155</v>
      </c>
      <c r="E31" s="57" t="s">
        <v>156</v>
      </c>
      <c r="F31" s="58" t="s">
        <v>157</v>
      </c>
      <c r="G31" s="58"/>
      <c r="H31" s="58"/>
      <c r="I31" s="59"/>
      <c r="J31" s="59">
        <v>450</v>
      </c>
      <c r="K31" s="59">
        <v>230</v>
      </c>
      <c r="L31" s="59">
        <v>50</v>
      </c>
      <c r="M31" s="59">
        <v>10</v>
      </c>
      <c r="N31" s="60">
        <v>10</v>
      </c>
      <c r="O31" s="61">
        <f>SUM(K31:N31)</f>
        <v>300</v>
      </c>
      <c r="P31" s="82" t="str">
        <f>IF(I31="","",+O31-I31)</f>
        <v/>
      </c>
      <c r="Q31" s="85" t="str">
        <f>IF(OR(I31="",P31=""),"",ROUND(P31/I31,3))</f>
        <v/>
      </c>
      <c r="R31" s="64">
        <f>+O31-J31</f>
        <v>-150</v>
      </c>
      <c r="S31" s="65">
        <f>IF(OR(J31="",R31=""),"",ROUND(R31/J31,2))</f>
        <v>-0.33</v>
      </c>
      <c r="T31" s="66">
        <v>2</v>
      </c>
      <c r="U31" s="67" t="s">
        <v>137</v>
      </c>
      <c r="V31" s="74" t="s">
        <v>178</v>
      </c>
      <c r="W31" s="69" t="s">
        <v>179</v>
      </c>
      <c r="X31" s="69" t="s">
        <v>180</v>
      </c>
    </row>
    <row r="32" spans="3:24" ht="37.9" customHeight="1" thickBot="1" x14ac:dyDescent="0.25">
      <c r="C32" s="55" t="s">
        <v>162</v>
      </c>
      <c r="D32" s="56" t="s">
        <v>163</v>
      </c>
      <c r="E32" s="57" t="s">
        <v>164</v>
      </c>
      <c r="F32" s="58" t="s">
        <v>165</v>
      </c>
      <c r="G32" s="58"/>
      <c r="H32" s="58"/>
      <c r="I32" s="70" t="str">
        <f>IF(OR(I31="",I31=0),"",ROUND(I34/I31,0))</f>
        <v/>
      </c>
      <c r="J32" s="70">
        <f>IF(OR(J31="",J31=0),"",ROUND(J34/J31,0))</f>
        <v>110</v>
      </c>
      <c r="K32" s="70">
        <f>IF(OR(K31="",K31=0),"",ROUND(K34/K31,0))</f>
        <v>100</v>
      </c>
      <c r="L32" s="59">
        <v>100</v>
      </c>
      <c r="M32" s="59">
        <v>100</v>
      </c>
      <c r="N32" s="59">
        <v>100</v>
      </c>
      <c r="O32" s="71">
        <f>IF(OR(O31="",O31=0),"",ROUND(O34/O31,0))</f>
        <v>100</v>
      </c>
      <c r="P32" s="82" t="str">
        <f>IF(I32="","",+O32-I32)</f>
        <v/>
      </c>
      <c r="Q32" s="83" t="str">
        <f>IF(OR(I32="",P32=""),"",ROUND(P32/I32,3))</f>
        <v/>
      </c>
      <c r="R32" s="64">
        <f>+O32-J32</f>
        <v>-10</v>
      </c>
      <c r="S32" s="65">
        <f>IF(OR(J32="",R32=""),"",ROUND(R32/J32,2))</f>
        <v>-0.09</v>
      </c>
      <c r="T32" s="66">
        <v>1</v>
      </c>
      <c r="U32" s="67" t="s">
        <v>158</v>
      </c>
      <c r="V32" s="74" t="s">
        <v>166</v>
      </c>
      <c r="W32" s="74" t="s">
        <v>167</v>
      </c>
      <c r="X32" s="69" t="s">
        <v>168</v>
      </c>
    </row>
    <row r="33" spans="3:24" ht="14.25" thickBot="1" x14ac:dyDescent="0.2">
      <c r="C33" s="75" t="s">
        <v>169</v>
      </c>
      <c r="D33" s="76" t="s">
        <v>170</v>
      </c>
      <c r="E33" s="58" t="s">
        <v>164</v>
      </c>
      <c r="F33" s="58" t="s">
        <v>165</v>
      </c>
      <c r="G33" s="58"/>
      <c r="H33" s="58"/>
      <c r="I33" s="79"/>
      <c r="J33" s="79"/>
      <c r="K33" s="79"/>
      <c r="L33" s="86"/>
      <c r="M33" s="86"/>
      <c r="N33" s="86"/>
      <c r="O33" s="79"/>
      <c r="P33" s="77"/>
      <c r="Q33" s="77"/>
      <c r="R33" s="79"/>
      <c r="S33" s="77"/>
      <c r="T33" s="77"/>
      <c r="U33" s="77"/>
      <c r="V33" s="77"/>
      <c r="W33" s="77"/>
      <c r="X33" s="77"/>
    </row>
    <row r="34" spans="3:24" ht="35.25" thickBot="1" x14ac:dyDescent="0.25">
      <c r="C34" s="55" t="s">
        <v>171</v>
      </c>
      <c r="D34" s="80" t="s">
        <v>172</v>
      </c>
      <c r="E34" s="57" t="s">
        <v>164</v>
      </c>
      <c r="F34" s="58" t="s">
        <v>165</v>
      </c>
      <c r="G34" s="58" t="s">
        <v>173</v>
      </c>
      <c r="H34" s="58"/>
      <c r="I34" s="59"/>
      <c r="J34" s="59">
        <v>49500</v>
      </c>
      <c r="K34" s="59">
        <v>23000</v>
      </c>
      <c r="L34" s="70">
        <f>IF(OR(L31="",L32=""),"",ROUND(L31*L32,0)+L33)</f>
        <v>5000</v>
      </c>
      <c r="M34" s="70">
        <f>IF(OR(M31="",M32=""),"",ROUND(M31*M32,0)+M33)</f>
        <v>1000</v>
      </c>
      <c r="N34" s="70">
        <f>IF(OR(N31="",N32=""),"",ROUND(N31*N32,0)+N33)</f>
        <v>1000</v>
      </c>
      <c r="O34" s="61">
        <f>SUM(K34:N34)</f>
        <v>30000</v>
      </c>
      <c r="P34" s="82" t="str">
        <f>IF(I34="","",+O34-I34)</f>
        <v/>
      </c>
      <c r="Q34" s="83" t="str">
        <f>IF(OR(I34="",P34=""),"",ROUND(P34/I34,3))</f>
        <v/>
      </c>
      <c r="R34" s="64">
        <f>+O34-J34</f>
        <v>-19500</v>
      </c>
      <c r="S34" s="65">
        <f>IF(OR(J34="",R34=""),"",ROUND(R34/J34,2))</f>
        <v>-0.39</v>
      </c>
      <c r="T34" s="77"/>
      <c r="U34" s="84" t="s">
        <v>174</v>
      </c>
      <c r="V34" s="84" t="s">
        <v>174</v>
      </c>
      <c r="W34" s="84" t="s">
        <v>174</v>
      </c>
      <c r="X34" s="84" t="s">
        <v>174</v>
      </c>
    </row>
    <row r="36" spans="3:24" ht="24" x14ac:dyDescent="0.15">
      <c r="C36" s="145" t="s">
        <v>339</v>
      </c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</row>
    <row r="37" spans="3:24" ht="3.6" customHeight="1" thickBot="1" x14ac:dyDescent="0.2"/>
    <row r="38" spans="3:24" ht="18" thickBot="1" x14ac:dyDescent="0.2">
      <c r="D38" s="1" t="s">
        <v>99</v>
      </c>
      <c r="E38" s="171" t="s">
        <v>181</v>
      </c>
      <c r="F38" s="172"/>
      <c r="G38" s="172"/>
      <c r="H38" s="172"/>
      <c r="I38" s="172"/>
      <c r="J38" s="172"/>
      <c r="K38" s="172"/>
      <c r="L38" s="173"/>
      <c r="T38" s="143" t="s">
        <v>101</v>
      </c>
      <c r="U38" s="144"/>
      <c r="V38" s="3" t="s">
        <v>102</v>
      </c>
      <c r="W38" s="3" t="s">
        <v>103</v>
      </c>
      <c r="X38" s="3" t="s">
        <v>104</v>
      </c>
    </row>
    <row r="39" spans="3:24" ht="18" thickBot="1" x14ac:dyDescent="0.2">
      <c r="D39" s="1" t="s">
        <v>105</v>
      </c>
      <c r="E39" s="171" t="s">
        <v>182</v>
      </c>
      <c r="F39" s="172"/>
      <c r="G39" s="172"/>
      <c r="H39" s="172"/>
      <c r="I39" s="172"/>
      <c r="J39" s="172"/>
      <c r="K39" s="172"/>
      <c r="L39" s="173"/>
      <c r="T39" s="143" t="s">
        <v>107</v>
      </c>
      <c r="U39" s="144"/>
      <c r="V39" s="3" t="s">
        <v>108</v>
      </c>
      <c r="W39" s="3" t="s">
        <v>109</v>
      </c>
      <c r="X39" s="3" t="s">
        <v>99</v>
      </c>
    </row>
    <row r="40" spans="3:24" ht="14.25" thickBot="1" x14ac:dyDescent="0.2">
      <c r="D40" s="4" t="s">
        <v>110</v>
      </c>
      <c r="E40" s="142" t="s">
        <v>111</v>
      </c>
      <c r="F40" s="142"/>
      <c r="G40" s="142"/>
      <c r="H40" s="142"/>
      <c r="I40" s="142"/>
      <c r="J40" s="2"/>
      <c r="T40" s="143" t="s">
        <v>112</v>
      </c>
      <c r="U40" s="144"/>
      <c r="V40" s="3" t="s">
        <v>113</v>
      </c>
      <c r="W40" s="3" t="s">
        <v>113</v>
      </c>
      <c r="X40" s="53" t="s">
        <v>100</v>
      </c>
    </row>
    <row r="41" spans="3:24" ht="14.25" thickBot="1" x14ac:dyDescent="0.2">
      <c r="D41" s="150" t="s">
        <v>114</v>
      </c>
      <c r="E41" s="151"/>
      <c r="F41" s="151"/>
      <c r="G41" s="151"/>
      <c r="H41" s="151"/>
      <c r="I41" s="152"/>
      <c r="J41" s="2"/>
      <c r="T41" s="143" t="s">
        <v>115</v>
      </c>
      <c r="U41" s="144"/>
      <c r="V41" s="3" t="s">
        <v>116</v>
      </c>
      <c r="W41" s="3" t="s">
        <v>116</v>
      </c>
      <c r="X41" s="3" t="s">
        <v>116</v>
      </c>
    </row>
    <row r="42" spans="3:24" ht="4.1500000000000004" customHeight="1" x14ac:dyDescent="0.15"/>
    <row r="43" spans="3:24" x14ac:dyDescent="0.15">
      <c r="C43" s="153" t="s">
        <v>117</v>
      </c>
      <c r="D43" s="156" t="s">
        <v>118</v>
      </c>
      <c r="E43" s="159" t="s">
        <v>119</v>
      </c>
      <c r="F43" s="159" t="s">
        <v>120</v>
      </c>
      <c r="G43" s="153" t="s">
        <v>121</v>
      </c>
      <c r="H43" s="153" t="s">
        <v>122</v>
      </c>
      <c r="I43" s="153" t="s">
        <v>183</v>
      </c>
      <c r="J43" s="153" t="s">
        <v>184</v>
      </c>
      <c r="K43" s="5" t="s">
        <v>125</v>
      </c>
      <c r="L43" s="5" t="s">
        <v>126</v>
      </c>
      <c r="M43" s="5" t="s">
        <v>126</v>
      </c>
      <c r="N43" s="5" t="s">
        <v>126</v>
      </c>
      <c r="O43" s="153" t="s">
        <v>127</v>
      </c>
      <c r="P43" s="153" t="s">
        <v>128</v>
      </c>
      <c r="Q43" s="153" t="s">
        <v>129</v>
      </c>
      <c r="R43" s="153" t="s">
        <v>130</v>
      </c>
      <c r="S43" s="153" t="s">
        <v>131</v>
      </c>
      <c r="T43" s="162" t="s">
        <v>132</v>
      </c>
      <c r="U43" s="163"/>
      <c r="V43" s="163"/>
      <c r="W43" s="163"/>
      <c r="X43" s="164"/>
    </row>
    <row r="44" spans="3:24" x14ac:dyDescent="0.15">
      <c r="C44" s="154"/>
      <c r="D44" s="157"/>
      <c r="E44" s="160"/>
      <c r="F44" s="160"/>
      <c r="G44" s="157"/>
      <c r="H44" s="157"/>
      <c r="I44" s="157"/>
      <c r="J44" s="157"/>
      <c r="K44" s="5" t="s">
        <v>133</v>
      </c>
      <c r="L44" s="5" t="s">
        <v>134</v>
      </c>
      <c r="M44" s="5" t="s">
        <v>135</v>
      </c>
      <c r="N44" s="5" t="s">
        <v>136</v>
      </c>
      <c r="O44" s="154"/>
      <c r="P44" s="154"/>
      <c r="Q44" s="154"/>
      <c r="R44" s="154"/>
      <c r="S44" s="154"/>
      <c r="T44" s="165"/>
      <c r="U44" s="166"/>
      <c r="V44" s="166"/>
      <c r="W44" s="166"/>
      <c r="X44" s="167"/>
    </row>
    <row r="45" spans="3:24" x14ac:dyDescent="0.15">
      <c r="C45" s="155"/>
      <c r="D45" s="158"/>
      <c r="E45" s="161"/>
      <c r="F45" s="161"/>
      <c r="G45" s="158"/>
      <c r="H45" s="158"/>
      <c r="I45" s="158"/>
      <c r="J45" s="158"/>
      <c r="K45" s="5" t="s">
        <v>137</v>
      </c>
      <c r="L45" s="5" t="s">
        <v>138</v>
      </c>
      <c r="M45" s="5" t="s">
        <v>138</v>
      </c>
      <c r="N45" s="5" t="s">
        <v>138</v>
      </c>
      <c r="O45" s="155"/>
      <c r="P45" s="155"/>
      <c r="Q45" s="155"/>
      <c r="R45" s="155"/>
      <c r="S45" s="155"/>
      <c r="T45" s="168"/>
      <c r="U45" s="169"/>
      <c r="V45" s="169"/>
      <c r="W45" s="169"/>
      <c r="X45" s="170"/>
    </row>
    <row r="46" spans="3:24" ht="27" x14ac:dyDescent="0.15">
      <c r="C46" s="6"/>
      <c r="D46" s="6"/>
      <c r="E46" s="6"/>
      <c r="F46" s="6"/>
      <c r="G46" s="6"/>
      <c r="H46" s="6"/>
      <c r="I46" s="7" t="s">
        <v>139</v>
      </c>
      <c r="J46" s="7" t="s">
        <v>140</v>
      </c>
      <c r="K46" s="7" t="s">
        <v>141</v>
      </c>
      <c r="L46" s="7" t="s">
        <v>142</v>
      </c>
      <c r="M46" s="7" t="s">
        <v>143</v>
      </c>
      <c r="N46" s="7" t="s">
        <v>144</v>
      </c>
      <c r="O46" s="7" t="s">
        <v>177</v>
      </c>
      <c r="P46" s="9" t="s">
        <v>146</v>
      </c>
      <c r="Q46" s="9" t="s">
        <v>147</v>
      </c>
      <c r="R46" s="7" t="s">
        <v>148</v>
      </c>
      <c r="S46" s="9" t="s">
        <v>149</v>
      </c>
      <c r="T46" s="54" t="s">
        <v>117</v>
      </c>
      <c r="U46" s="7" t="s">
        <v>150</v>
      </c>
      <c r="V46" s="7" t="s">
        <v>151</v>
      </c>
      <c r="W46" s="7" t="s">
        <v>152</v>
      </c>
      <c r="X46" s="7" t="s">
        <v>153</v>
      </c>
    </row>
    <row r="47" spans="3:24" ht="4.1500000000000004" customHeight="1" thickBot="1" x14ac:dyDescent="0.2">
      <c r="C47" s="6"/>
      <c r="D47" s="10"/>
      <c r="E47" s="6"/>
      <c r="F47" s="6"/>
      <c r="G47" s="6"/>
      <c r="H47" s="6"/>
      <c r="I47" s="6"/>
      <c r="J47" s="6"/>
      <c r="K47" s="6"/>
      <c r="L47" s="6"/>
      <c r="M47" s="6"/>
      <c r="N47" s="6"/>
      <c r="O47" s="10"/>
      <c r="P47" s="6"/>
      <c r="Q47" s="6"/>
      <c r="R47" s="10"/>
      <c r="S47" s="10"/>
      <c r="T47" s="6"/>
      <c r="U47" s="6"/>
      <c r="V47" s="6"/>
      <c r="W47" s="6"/>
      <c r="X47" s="6"/>
    </row>
    <row r="48" spans="3:24" ht="27.75" thickBot="1" x14ac:dyDescent="0.25">
      <c r="C48" s="55" t="s">
        <v>154</v>
      </c>
      <c r="D48" s="87" t="s">
        <v>155</v>
      </c>
      <c r="E48" s="57" t="s">
        <v>156</v>
      </c>
      <c r="F48" s="58" t="s">
        <v>157</v>
      </c>
      <c r="G48" s="58"/>
      <c r="H48" s="58"/>
      <c r="I48" s="70">
        <f>+I14+I31</f>
        <v>0</v>
      </c>
      <c r="J48" s="70">
        <f>+J14+J31</f>
        <v>1500</v>
      </c>
      <c r="K48" s="88">
        <f t="shared" ref="K48:N48" si="0">+K14+K31</f>
        <v>855</v>
      </c>
      <c r="L48" s="89">
        <f t="shared" si="0"/>
        <v>69</v>
      </c>
      <c r="M48" s="89">
        <f t="shared" si="0"/>
        <v>47</v>
      </c>
      <c r="N48" s="89">
        <f t="shared" si="0"/>
        <v>29</v>
      </c>
      <c r="O48" s="90">
        <f>SUM(K48:N48)</f>
        <v>1000</v>
      </c>
      <c r="P48" s="62">
        <f>IF(I48="","",+O48-I48)</f>
        <v>1000</v>
      </c>
      <c r="Q48" s="63" t="str">
        <f>IF(OR(I48=0,P48=""),"",ROUND(P48/I48,3))</f>
        <v/>
      </c>
      <c r="R48" s="64">
        <f>+O48-J48</f>
        <v>-500</v>
      </c>
      <c r="S48" s="65">
        <f>IF(OR(J48="",R48=""),"",ROUND(R48/J48,2))</f>
        <v>-0.33</v>
      </c>
      <c r="T48" s="91" t="s">
        <v>185</v>
      </c>
      <c r="U48" s="92" t="s">
        <v>186</v>
      </c>
      <c r="V48" s="74" t="s">
        <v>187</v>
      </c>
      <c r="W48" s="69" t="s">
        <v>188</v>
      </c>
      <c r="X48" s="69" t="s">
        <v>161</v>
      </c>
    </row>
    <row r="49" spans="3:24" ht="13.9" customHeight="1" thickBot="1" x14ac:dyDescent="0.2">
      <c r="L49" s="93" t="s">
        <v>189</v>
      </c>
      <c r="M49" s="93" t="s">
        <v>189</v>
      </c>
      <c r="N49" s="93" t="s">
        <v>189</v>
      </c>
    </row>
    <row r="50" spans="3:24" ht="14.25" thickBot="1" x14ac:dyDescent="0.2">
      <c r="L50" s="174" t="s">
        <v>190</v>
      </c>
      <c r="M50" s="175"/>
      <c r="N50" s="176"/>
    </row>
    <row r="51" spans="3:24" ht="1.9" customHeight="1" thickBot="1" x14ac:dyDescent="0.2"/>
    <row r="52" spans="3:24" ht="50.45" customHeight="1" thickBot="1" x14ac:dyDescent="0.25">
      <c r="C52" s="55" t="s">
        <v>162</v>
      </c>
      <c r="D52" s="94" t="s">
        <v>163</v>
      </c>
      <c r="E52" s="57" t="s">
        <v>164</v>
      </c>
      <c r="F52" s="58" t="s">
        <v>165</v>
      </c>
      <c r="G52" s="58"/>
      <c r="H52" s="58"/>
      <c r="I52" s="70" t="str">
        <f>IF(OR(I48="",I48=0),"",ROUND(I54/I48,0))</f>
        <v/>
      </c>
      <c r="J52" s="70">
        <f>IF(OR(J48="",J48=0),"",ROUND(J54/J48,0))</f>
        <v>110</v>
      </c>
      <c r="K52" s="70">
        <f>IF(OR(K48="",K48=0),"",ROUND(K54/K48,0))</f>
        <v>100</v>
      </c>
      <c r="L52" s="70">
        <f t="shared" ref="L52:N52" si="1">IF(OR(L48="",L48=0),"",ROUND(L54/L48,0))</f>
        <v>100</v>
      </c>
      <c r="M52" s="70">
        <f t="shared" si="1"/>
        <v>100</v>
      </c>
      <c r="N52" s="70">
        <f t="shared" si="1"/>
        <v>101</v>
      </c>
      <c r="O52" s="89">
        <f>IF(OR(O48="",O48=0),"",ROUND(O54/O48,0))</f>
        <v>100</v>
      </c>
      <c r="P52" s="62" t="str">
        <f>IF(I52="","",+O52-I52)</f>
        <v/>
      </c>
      <c r="Q52" s="72" t="str">
        <f>IF(OR(I52="",P52=""),"",ROUND(P52/I52,3))</f>
        <v/>
      </c>
      <c r="R52" s="64">
        <f>+O52-J52</f>
        <v>-10</v>
      </c>
      <c r="S52" s="65">
        <f>IF(OR(J52="",R52=""),"",ROUND(R52/J52,2))</f>
        <v>-0.09</v>
      </c>
      <c r="T52" s="95">
        <v>1</v>
      </c>
      <c r="U52" s="96" t="s">
        <v>191</v>
      </c>
      <c r="V52" s="73" t="s">
        <v>166</v>
      </c>
      <c r="W52" s="74" t="s">
        <v>192</v>
      </c>
      <c r="X52" s="69" t="s">
        <v>168</v>
      </c>
    </row>
    <row r="53" spans="3:24" ht="14.25" thickBot="1" x14ac:dyDescent="0.2">
      <c r="C53" s="75" t="s">
        <v>169</v>
      </c>
      <c r="D53" s="76" t="s">
        <v>170</v>
      </c>
      <c r="E53" s="58" t="s">
        <v>164</v>
      </c>
      <c r="F53" s="58" t="s">
        <v>165</v>
      </c>
      <c r="G53" s="58"/>
      <c r="H53" s="58"/>
      <c r="I53" s="79"/>
      <c r="J53" s="79"/>
      <c r="K53" s="79"/>
      <c r="L53" s="97"/>
      <c r="M53" s="86"/>
      <c r="N53" s="86"/>
      <c r="O53" s="79"/>
      <c r="P53" s="79"/>
      <c r="Q53" s="79"/>
      <c r="R53" s="79"/>
      <c r="S53" s="79"/>
      <c r="T53" s="77"/>
      <c r="U53" s="77"/>
      <c r="V53" s="77"/>
      <c r="W53" s="77"/>
      <c r="X53" s="77"/>
    </row>
    <row r="54" spans="3:24" ht="24" customHeight="1" thickBot="1" x14ac:dyDescent="0.25">
      <c r="C54" s="55" t="s">
        <v>171</v>
      </c>
      <c r="D54" s="98" t="s">
        <v>193</v>
      </c>
      <c r="E54" s="57" t="s">
        <v>164</v>
      </c>
      <c r="F54" s="58" t="s">
        <v>165</v>
      </c>
      <c r="G54" s="58" t="s">
        <v>173</v>
      </c>
      <c r="H54" s="58"/>
      <c r="I54" s="70">
        <f>+I17+I34</f>
        <v>0</v>
      </c>
      <c r="J54" s="70">
        <f>+J17+J34</f>
        <v>165000</v>
      </c>
      <c r="K54" s="99">
        <f t="shared" ref="K54:N54" si="2">+K17+K34</f>
        <v>85500</v>
      </c>
      <c r="L54" s="100">
        <f t="shared" si="2"/>
        <v>6881</v>
      </c>
      <c r="M54" s="101">
        <f t="shared" si="2"/>
        <v>4700</v>
      </c>
      <c r="N54" s="70">
        <f t="shared" si="2"/>
        <v>2919</v>
      </c>
      <c r="O54" s="90">
        <f>SUM(K54:N54)</f>
        <v>100000</v>
      </c>
      <c r="P54" s="62">
        <f>IF(I54="","",+O54-I54)</f>
        <v>100000</v>
      </c>
      <c r="Q54" s="72" t="str">
        <f>IF(OR(I54=0,P54=""),"",ROUND(P54/I54,3))</f>
        <v/>
      </c>
      <c r="R54" s="64">
        <f>+O54-J54</f>
        <v>-65000</v>
      </c>
      <c r="S54" s="65">
        <f>IF(OR(J54="",R54=""),"",ROUND(R54/J54,2))</f>
        <v>-0.39</v>
      </c>
      <c r="T54" s="77"/>
      <c r="U54" s="84" t="s">
        <v>174</v>
      </c>
      <c r="V54" s="84" t="s">
        <v>174</v>
      </c>
      <c r="W54" s="84" t="s">
        <v>174</v>
      </c>
      <c r="X54" s="84" t="s">
        <v>174</v>
      </c>
    </row>
    <row r="55" spans="3:24" ht="13.9" customHeight="1" thickBot="1" x14ac:dyDescent="0.2">
      <c r="C55" s="102"/>
      <c r="D55" s="93"/>
      <c r="E55" s="93"/>
      <c r="F55" s="93"/>
      <c r="G55" s="93"/>
      <c r="H55" s="93"/>
      <c r="I55" s="93"/>
      <c r="J55" s="93"/>
      <c r="K55" s="93"/>
      <c r="O55" s="93" t="s">
        <v>189</v>
      </c>
      <c r="P55" s="93"/>
      <c r="Q55" s="93"/>
      <c r="R55" s="93"/>
      <c r="S55" s="93"/>
      <c r="T55" s="103"/>
      <c r="U55" s="93"/>
      <c r="V55" s="93"/>
      <c r="W55" s="93"/>
      <c r="X55" s="93"/>
    </row>
    <row r="56" spans="3:24" ht="16.899999999999999" customHeight="1" thickBot="1" x14ac:dyDescent="0.2">
      <c r="O56" s="104" t="s">
        <v>194</v>
      </c>
    </row>
  </sheetData>
  <mergeCells count="70">
    <mergeCell ref="L50:N50"/>
    <mergeCell ref="O43:O45"/>
    <mergeCell ref="P43:P45"/>
    <mergeCell ref="Q43:Q45"/>
    <mergeCell ref="R43:R45"/>
    <mergeCell ref="S43:S45"/>
    <mergeCell ref="T43:X45"/>
    <mergeCell ref="D41:I41"/>
    <mergeCell ref="T41:U41"/>
    <mergeCell ref="C43:C45"/>
    <mergeCell ref="D43:D45"/>
    <mergeCell ref="E43:E45"/>
    <mergeCell ref="F43:F45"/>
    <mergeCell ref="G43:G45"/>
    <mergeCell ref="H43:H45"/>
    <mergeCell ref="I43:I45"/>
    <mergeCell ref="J43:J45"/>
    <mergeCell ref="E40:I40"/>
    <mergeCell ref="T40:U40"/>
    <mergeCell ref="O26:O28"/>
    <mergeCell ref="P26:P28"/>
    <mergeCell ref="Q26:Q28"/>
    <mergeCell ref="R26:R28"/>
    <mergeCell ref="S26:S28"/>
    <mergeCell ref="T26:X28"/>
    <mergeCell ref="C36:X36"/>
    <mergeCell ref="E38:L38"/>
    <mergeCell ref="T38:U38"/>
    <mergeCell ref="E39:L39"/>
    <mergeCell ref="T39:U39"/>
    <mergeCell ref="D24:I24"/>
    <mergeCell ref="T24:U24"/>
    <mergeCell ref="C26:C28"/>
    <mergeCell ref="D26:D28"/>
    <mergeCell ref="E26:E28"/>
    <mergeCell ref="F26:F28"/>
    <mergeCell ref="G26:G28"/>
    <mergeCell ref="H26:H28"/>
    <mergeCell ref="I26:I28"/>
    <mergeCell ref="J26:J28"/>
    <mergeCell ref="E23:I23"/>
    <mergeCell ref="T23:U23"/>
    <mergeCell ref="O9:O11"/>
    <mergeCell ref="P9:P11"/>
    <mergeCell ref="Q9:Q11"/>
    <mergeCell ref="R9:R11"/>
    <mergeCell ref="S9:S11"/>
    <mergeCell ref="T9:X11"/>
    <mergeCell ref="C19:X19"/>
    <mergeCell ref="E21:I21"/>
    <mergeCell ref="T21:U21"/>
    <mergeCell ref="E22:I22"/>
    <mergeCell ref="T22:U22"/>
    <mergeCell ref="D7:I7"/>
    <mergeCell ref="T7:U7"/>
    <mergeCell ref="C9:C11"/>
    <mergeCell ref="D9:D11"/>
    <mergeCell ref="E9:E11"/>
    <mergeCell ref="F9:F11"/>
    <mergeCell ref="G9:G11"/>
    <mergeCell ref="H9:H11"/>
    <mergeCell ref="I9:I11"/>
    <mergeCell ref="J9:J11"/>
    <mergeCell ref="E6:I6"/>
    <mergeCell ref="T6:U6"/>
    <mergeCell ref="C2:X2"/>
    <mergeCell ref="E4:I4"/>
    <mergeCell ref="T4:U4"/>
    <mergeCell ref="E5:I5"/>
    <mergeCell ref="T5:U5"/>
  </mergeCells>
  <phoneticPr fontId="2"/>
  <printOptions horizontalCentered="1"/>
  <pageMargins left="0.19685039370078741" right="0.19685039370078741" top="0.19685039370078741" bottom="0.23622047244094491" header="0.19685039370078741" footer="0.19685039370078741"/>
  <pageSetup paperSize="9" scale="60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AD93"/>
  <sheetViews>
    <sheetView workbookViewId="0">
      <selection activeCell="D3" sqref="D3"/>
    </sheetView>
  </sheetViews>
  <sheetFormatPr defaultRowHeight="13.5" x14ac:dyDescent="0.15"/>
  <cols>
    <col min="4" max="8" width="6.625" customWidth="1"/>
    <col min="9" max="9" width="3.625" customWidth="1"/>
    <col min="10" max="10" width="3.75" customWidth="1"/>
    <col min="11" max="11" width="6" customWidth="1"/>
    <col min="12" max="12" width="1.875" customWidth="1"/>
    <col min="13" max="13" width="4.125" customWidth="1"/>
    <col min="14" max="25" width="6" customWidth="1"/>
    <col min="26" max="30" width="1.625" customWidth="1"/>
  </cols>
  <sheetData>
    <row r="2" spans="4:30" ht="24" x14ac:dyDescent="0.15">
      <c r="D2" s="145" t="s">
        <v>340</v>
      </c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</row>
    <row r="3" spans="4:30" ht="6" customHeight="1" x14ac:dyDescent="0.15"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4:30" ht="24" x14ac:dyDescent="0.15">
      <c r="D4" s="145" t="s">
        <v>215</v>
      </c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</row>
    <row r="5" spans="4:30" ht="18.75" x14ac:dyDescent="0.15">
      <c r="D5" s="114" t="s">
        <v>216</v>
      </c>
      <c r="AD5" s="115" t="s">
        <v>217</v>
      </c>
    </row>
    <row r="6" spans="4:30" ht="9.6" customHeight="1" thickBot="1" x14ac:dyDescent="0.2"/>
    <row r="7" spans="4:30" ht="14.25" thickBot="1" x14ac:dyDescent="0.2">
      <c r="D7" s="3" t="s">
        <v>218</v>
      </c>
      <c r="E7" s="143" t="s">
        <v>219</v>
      </c>
      <c r="F7" s="184"/>
      <c r="G7" s="184"/>
      <c r="H7" s="144"/>
      <c r="I7" s="143" t="s">
        <v>220</v>
      </c>
      <c r="J7" s="144"/>
      <c r="K7" s="116" t="s">
        <v>221</v>
      </c>
      <c r="L7" s="143" t="s">
        <v>222</v>
      </c>
      <c r="M7" s="184"/>
      <c r="N7" s="177" t="s">
        <v>223</v>
      </c>
      <c r="O7" s="177"/>
      <c r="P7" s="177"/>
      <c r="Q7" s="177"/>
      <c r="R7" s="177"/>
      <c r="S7" s="177"/>
      <c r="T7" s="185" t="s">
        <v>224</v>
      </c>
      <c r="U7" s="177"/>
      <c r="V7" s="185" t="s">
        <v>225</v>
      </c>
      <c r="W7" s="177"/>
      <c r="X7" s="185" t="s">
        <v>226</v>
      </c>
      <c r="Y7" s="177"/>
      <c r="Z7" s="186" t="s">
        <v>227</v>
      </c>
      <c r="AA7" s="187"/>
      <c r="AB7" s="187"/>
      <c r="AC7" s="187"/>
      <c r="AD7" s="188"/>
    </row>
    <row r="8" spans="4:30" x14ac:dyDescent="0.15">
      <c r="N8" s="177" t="s">
        <v>228</v>
      </c>
      <c r="O8" s="177"/>
      <c r="P8" s="177" t="s">
        <v>229</v>
      </c>
      <c r="Q8" s="177"/>
      <c r="R8" s="177"/>
      <c r="S8" s="177"/>
      <c r="T8" s="177"/>
      <c r="U8" s="177"/>
      <c r="V8" s="177"/>
      <c r="W8" s="177"/>
      <c r="X8" s="177"/>
      <c r="Y8" s="177"/>
      <c r="Z8" s="189"/>
      <c r="AA8" s="190"/>
      <c r="AB8" s="190"/>
      <c r="AC8" s="190"/>
      <c r="AD8" s="191"/>
    </row>
    <row r="9" spans="4:30" x14ac:dyDescent="0.15">
      <c r="N9" s="177"/>
      <c r="O9" s="177"/>
      <c r="P9" s="178" t="s">
        <v>230</v>
      </c>
      <c r="Q9" s="178"/>
      <c r="R9" s="178" t="s">
        <v>231</v>
      </c>
      <c r="S9" s="178"/>
      <c r="T9" s="177"/>
      <c r="U9" s="177"/>
      <c r="V9" s="177"/>
      <c r="W9" s="177"/>
      <c r="X9" s="177"/>
      <c r="Y9" s="177"/>
      <c r="Z9" s="192"/>
      <c r="AA9" s="193"/>
      <c r="AB9" s="193"/>
      <c r="AC9" s="193"/>
      <c r="AD9" s="194"/>
    </row>
    <row r="10" spans="4:30" ht="14.25" thickBot="1" x14ac:dyDescent="0.2">
      <c r="D10" s="117" t="s">
        <v>232</v>
      </c>
      <c r="O10" s="118"/>
      <c r="P10" s="118"/>
      <c r="Q10" s="118"/>
      <c r="R10" s="118"/>
      <c r="S10" s="118"/>
    </row>
    <row r="11" spans="4:30" ht="14.25" thickBot="1" x14ac:dyDescent="0.2">
      <c r="D11" s="3">
        <v>1</v>
      </c>
      <c r="E11" s="179" t="s">
        <v>199</v>
      </c>
      <c r="F11" s="180"/>
      <c r="G11" s="180"/>
      <c r="H11" s="180"/>
      <c r="I11" s="119">
        <v>2</v>
      </c>
      <c r="J11" s="54" t="str">
        <f>IF(I11=1,"借",IF(I11=2,"貸",""))</f>
        <v>貸</v>
      </c>
      <c r="K11" s="119" t="s">
        <v>19</v>
      </c>
      <c r="L11" s="119"/>
      <c r="M11" s="54" t="str">
        <f>IF(L11=1,"変",IF(L11=2,"固",""))</f>
        <v/>
      </c>
      <c r="N11" s="181">
        <v>100000</v>
      </c>
      <c r="O11" s="182"/>
      <c r="P11" s="183" t="str">
        <f>IF(AND($I11=1,$L11=1),$N11,IF(AND($I11=2,$L11=1),-$N11,""))</f>
        <v/>
      </c>
      <c r="Q11" s="183"/>
      <c r="R11" s="183" t="str">
        <f>IF(AND($I11=1,$L11=2),N11,IF(AND($I11=2,$L11=2),-N11,""))</f>
        <v/>
      </c>
      <c r="S11" s="183"/>
      <c r="T11" s="203">
        <v>165000</v>
      </c>
      <c r="U11" s="203"/>
      <c r="V11" s="183">
        <f>IF(I11=1,T11-N11,IF(I11=2,N11-T11,""))</f>
        <v>-65000</v>
      </c>
      <c r="W11" s="183"/>
      <c r="X11" s="199">
        <f t="shared" ref="X11" si="0">IF(OR(T11="",T11=0),"",ROUND(V11/T11,2))</f>
        <v>-0.39</v>
      </c>
      <c r="Y11" s="199"/>
      <c r="Z11" s="200" t="s">
        <v>9</v>
      </c>
      <c r="AA11" s="201"/>
      <c r="AB11" s="201"/>
      <c r="AC11" s="201"/>
      <c r="AD11" s="202"/>
    </row>
    <row r="12" spans="4:30" ht="14.25" thickBot="1" x14ac:dyDescent="0.2">
      <c r="E12" s="117" t="s">
        <v>233</v>
      </c>
      <c r="AA12" s="102"/>
      <c r="AB12" s="102"/>
      <c r="AC12" s="102"/>
      <c r="AD12" s="102"/>
    </row>
    <row r="13" spans="4:30" ht="14.25" thickBot="1" x14ac:dyDescent="0.2">
      <c r="E13" s="179" t="s">
        <v>87</v>
      </c>
      <c r="F13" s="180"/>
      <c r="G13" s="180"/>
      <c r="H13" s="195"/>
      <c r="N13" s="196">
        <v>100</v>
      </c>
      <c r="O13" s="197"/>
      <c r="T13" s="198">
        <v>110</v>
      </c>
      <c r="U13" s="198"/>
      <c r="V13" s="183">
        <f>+N13-T13</f>
        <v>-10</v>
      </c>
      <c r="W13" s="183"/>
      <c r="X13" s="199">
        <f t="shared" ref="X13:X14" si="1">IF(OR(T13="",T13=0),"",ROUND(V13/T13,2))</f>
        <v>-0.09</v>
      </c>
      <c r="Y13" s="199"/>
      <c r="Z13" s="200" t="s">
        <v>9</v>
      </c>
      <c r="AA13" s="201"/>
      <c r="AB13" s="201"/>
      <c r="AC13" s="201"/>
      <c r="AD13" s="202"/>
    </row>
    <row r="14" spans="4:30" ht="14.25" thickBot="1" x14ac:dyDescent="0.2">
      <c r="E14" s="179" t="s">
        <v>234</v>
      </c>
      <c r="F14" s="180"/>
      <c r="G14" s="180"/>
      <c r="H14" s="195"/>
      <c r="N14" s="196">
        <v>1000</v>
      </c>
      <c r="O14" s="197"/>
      <c r="T14" s="198">
        <v>1260</v>
      </c>
      <c r="U14" s="198"/>
      <c r="V14" s="183">
        <f>+N14-T14</f>
        <v>-260</v>
      </c>
      <c r="W14" s="183"/>
      <c r="X14" s="199">
        <f t="shared" si="1"/>
        <v>-0.21</v>
      </c>
      <c r="Y14" s="199"/>
      <c r="Z14" s="200" t="s">
        <v>9</v>
      </c>
      <c r="AA14" s="201"/>
      <c r="AB14" s="201"/>
      <c r="AC14" s="201"/>
      <c r="AD14" s="202"/>
    </row>
    <row r="15" spans="4:30" ht="14.25" thickBot="1" x14ac:dyDescent="0.2">
      <c r="D15" s="117" t="s">
        <v>235</v>
      </c>
    </row>
    <row r="16" spans="4:30" ht="14.25" thickBot="1" x14ac:dyDescent="0.2">
      <c r="D16" s="3">
        <v>2</v>
      </c>
      <c r="E16" s="204" t="s">
        <v>236</v>
      </c>
      <c r="F16" s="205"/>
      <c r="G16" s="205"/>
      <c r="H16" s="205"/>
      <c r="I16" s="119">
        <v>1</v>
      </c>
      <c r="J16" s="54" t="str">
        <f>IF(I16=1,"借",IF(I16=2,"貸",""))</f>
        <v>借</v>
      </c>
      <c r="K16" s="119"/>
      <c r="L16" s="119"/>
      <c r="M16" s="54" t="str">
        <f>IF(L16=1,"変",IF(L16=2,"固",""))</f>
        <v/>
      </c>
      <c r="N16" s="181">
        <v>0</v>
      </c>
      <c r="O16" s="182"/>
      <c r="P16" s="183" t="str">
        <f t="shared" ref="P16:P17" si="2">IF(AND($I16=1,$L16=1),$N16,IF(AND($I16=2,$L16=1),-$N16,""))</f>
        <v/>
      </c>
      <c r="Q16" s="183"/>
      <c r="R16" s="183" t="str">
        <f t="shared" ref="R16" si="3">IF(AND($I16=1,$L16=2),P16,IF(AND($I16=2,$L16=2),-P16,""))</f>
        <v/>
      </c>
      <c r="S16" s="183"/>
      <c r="T16" s="203">
        <v>0</v>
      </c>
      <c r="U16" s="203"/>
      <c r="V16" s="183">
        <f>IF(I16=1,T16-N16,IF(I16=2,N16-T16,""))</f>
        <v>0</v>
      </c>
      <c r="W16" s="183"/>
      <c r="X16" s="199" t="str">
        <f t="shared" ref="X16:X21" si="4">IF(OR(T16="",T16=0),"",ROUND(V16/T16,2))</f>
        <v/>
      </c>
      <c r="Y16" s="199"/>
      <c r="Z16" s="200" t="s">
        <v>9</v>
      </c>
      <c r="AA16" s="201"/>
      <c r="AB16" s="201"/>
      <c r="AC16" s="201"/>
      <c r="AD16" s="202"/>
    </row>
    <row r="17" spans="4:30" ht="14.25" thickBot="1" x14ac:dyDescent="0.2">
      <c r="D17" s="3">
        <v>3</v>
      </c>
      <c r="E17" s="204" t="s">
        <v>237</v>
      </c>
      <c r="F17" s="205"/>
      <c r="G17" s="205"/>
      <c r="H17" s="205"/>
      <c r="I17" s="119">
        <v>1</v>
      </c>
      <c r="J17" s="54" t="str">
        <f t="shared" ref="J17:J18" si="5">IF(I17=1,"借",IF(I17=2,"貸",""))</f>
        <v>借</v>
      </c>
      <c r="K17" s="119" t="s">
        <v>19</v>
      </c>
      <c r="L17" s="119">
        <v>1</v>
      </c>
      <c r="M17" s="54" t="str">
        <f t="shared" ref="M17:M18" si="6">IF(L17=1,"変",IF(L17=2,"固",""))</f>
        <v>変</v>
      </c>
      <c r="N17" s="181">
        <v>80000</v>
      </c>
      <c r="O17" s="182"/>
      <c r="P17" s="183">
        <f t="shared" si="2"/>
        <v>80000</v>
      </c>
      <c r="Q17" s="183"/>
      <c r="R17" s="183" t="str">
        <f>IF(AND($I17=1,$L17=2),N17,IF(AND($I17=2,$L17=2),-N17,""))</f>
        <v/>
      </c>
      <c r="S17" s="183"/>
      <c r="T17" s="203">
        <v>90000</v>
      </c>
      <c r="U17" s="203"/>
      <c r="V17" s="183">
        <f t="shared" ref="V17:V18" si="7">IF(I17=1,T17-N17,IF(I17=2,N17-T17,""))</f>
        <v>10000</v>
      </c>
      <c r="W17" s="183"/>
      <c r="X17" s="199">
        <f t="shared" si="4"/>
        <v>0.11</v>
      </c>
      <c r="Y17" s="199"/>
      <c r="Z17" s="200" t="s">
        <v>9</v>
      </c>
      <c r="AA17" s="201"/>
      <c r="AB17" s="201"/>
      <c r="AC17" s="201"/>
      <c r="AD17" s="202"/>
    </row>
    <row r="18" spans="4:30" ht="14.25" thickBot="1" x14ac:dyDescent="0.2">
      <c r="D18" s="3">
        <v>4</v>
      </c>
      <c r="E18" s="143" t="s">
        <v>238</v>
      </c>
      <c r="F18" s="184"/>
      <c r="G18" s="184"/>
      <c r="H18" s="206"/>
      <c r="I18" s="119">
        <v>1</v>
      </c>
      <c r="J18" s="54" t="str">
        <f t="shared" si="5"/>
        <v>借</v>
      </c>
      <c r="K18" s="119"/>
      <c r="L18" s="119"/>
      <c r="M18" s="54" t="str">
        <f t="shared" si="6"/>
        <v/>
      </c>
      <c r="N18" s="207">
        <f>SUM(N16:O17)</f>
        <v>80000</v>
      </c>
      <c r="O18" s="208"/>
      <c r="P18" s="207">
        <f t="shared" ref="P18" si="8">SUM(P16:Q17)</f>
        <v>80000</v>
      </c>
      <c r="Q18" s="208"/>
      <c r="R18" s="207">
        <f t="shared" ref="R18" si="9">SUM(R16:S17)</f>
        <v>0</v>
      </c>
      <c r="S18" s="208"/>
      <c r="T18" s="207">
        <f t="shared" ref="T18" si="10">SUM(T16:U17)</f>
        <v>90000</v>
      </c>
      <c r="U18" s="208"/>
      <c r="V18" s="183">
        <f t="shared" si="7"/>
        <v>10000</v>
      </c>
      <c r="W18" s="183"/>
      <c r="X18" s="199">
        <f t="shared" si="4"/>
        <v>0.11</v>
      </c>
      <c r="Y18" s="199"/>
      <c r="Z18" s="200" t="s">
        <v>9</v>
      </c>
      <c r="AA18" s="201"/>
      <c r="AB18" s="201"/>
      <c r="AC18" s="201"/>
      <c r="AD18" s="202"/>
    </row>
    <row r="19" spans="4:30" ht="14.25" thickBot="1" x14ac:dyDescent="0.2">
      <c r="D19" s="3">
        <v>5</v>
      </c>
      <c r="E19" s="204" t="s">
        <v>239</v>
      </c>
      <c r="F19" s="205"/>
      <c r="G19" s="205"/>
      <c r="H19" s="205"/>
      <c r="I19" s="119">
        <v>2</v>
      </c>
      <c r="J19" s="54" t="str">
        <f>IF(I19=1,"借",IF(I19=2,"貸",""))</f>
        <v>貸</v>
      </c>
      <c r="K19" s="119"/>
      <c r="L19" s="119">
        <v>1</v>
      </c>
      <c r="M19" s="54" t="str">
        <f>IF(L19=1,"変",IF(L19=2,"固",""))</f>
        <v>変</v>
      </c>
      <c r="N19" s="181">
        <v>20000</v>
      </c>
      <c r="O19" s="182"/>
      <c r="P19" s="183">
        <f>IF(AND($I19=1,$L19=1),$N19,IF(AND($I19=2,$L19=1),-$N19,0))</f>
        <v>-20000</v>
      </c>
      <c r="Q19" s="183"/>
      <c r="R19" s="183">
        <f>IF(AND($I19=1,$L19=2),N19,IF(AND($I19=2,$L19=2),-N19,0))</f>
        <v>0</v>
      </c>
      <c r="S19" s="183"/>
      <c r="T19" s="203">
        <v>15000</v>
      </c>
      <c r="U19" s="203"/>
      <c r="V19" s="183">
        <f>IF(I19=1,T19-N19,IF(I19=2,N19-T19,""))</f>
        <v>5000</v>
      </c>
      <c r="W19" s="183"/>
      <c r="X19" s="199">
        <f t="shared" si="4"/>
        <v>0.33</v>
      </c>
      <c r="Y19" s="199"/>
      <c r="Z19" s="200" t="s">
        <v>9</v>
      </c>
      <c r="AA19" s="201"/>
      <c r="AB19" s="201"/>
      <c r="AC19" s="201"/>
      <c r="AD19" s="202"/>
    </row>
    <row r="20" spans="4:30" ht="14.25" thickBot="1" x14ac:dyDescent="0.2">
      <c r="D20" s="3">
        <v>6</v>
      </c>
      <c r="E20" s="204" t="s">
        <v>240</v>
      </c>
      <c r="F20" s="205"/>
      <c r="G20" s="205"/>
      <c r="H20" s="205"/>
      <c r="I20" s="119">
        <v>1</v>
      </c>
      <c r="J20" s="54" t="str">
        <f>IF(I20=1,"借",IF(I20=2,"貸",""))</f>
        <v>借</v>
      </c>
      <c r="K20" s="119"/>
      <c r="L20" s="119"/>
      <c r="M20" s="54" t="str">
        <f>IF(L20=1,"変",IF(L20=2,"固",""))</f>
        <v/>
      </c>
      <c r="N20" s="207">
        <f>+N18-N19</f>
        <v>60000</v>
      </c>
      <c r="O20" s="208"/>
      <c r="P20" s="207">
        <f>SUM(P18:Q19)</f>
        <v>60000</v>
      </c>
      <c r="Q20" s="208"/>
      <c r="R20" s="207">
        <f>SUM(R18:S19)</f>
        <v>0</v>
      </c>
      <c r="S20" s="208"/>
      <c r="T20" s="207">
        <f>+T18-T19</f>
        <v>75000</v>
      </c>
      <c r="U20" s="208"/>
      <c r="V20" s="183">
        <f>IF(I20=1,T20-N20,IF(I20=2,N20-T20,""))</f>
        <v>15000</v>
      </c>
      <c r="W20" s="183"/>
      <c r="X20" s="199">
        <f t="shared" si="4"/>
        <v>0.2</v>
      </c>
      <c r="Y20" s="199"/>
      <c r="Z20" s="200" t="s">
        <v>9</v>
      </c>
      <c r="AA20" s="201"/>
      <c r="AB20" s="201"/>
      <c r="AC20" s="201"/>
      <c r="AD20" s="202"/>
    </row>
    <row r="21" spans="4:30" ht="14.25" thickBot="1" x14ac:dyDescent="0.2">
      <c r="D21" s="3">
        <v>7</v>
      </c>
      <c r="E21" s="143" t="s">
        <v>241</v>
      </c>
      <c r="F21" s="184"/>
      <c r="G21" s="184"/>
      <c r="H21" s="206"/>
      <c r="I21" s="119">
        <v>2</v>
      </c>
      <c r="J21" s="54" t="str">
        <f>IF(I21=1,"借",IF(I21=2,"貸",""))</f>
        <v>貸</v>
      </c>
      <c r="K21" s="119"/>
      <c r="L21" s="119"/>
      <c r="M21" s="54" t="str">
        <f>IF(L21=1,"変",IF(L21=2,"固",""))</f>
        <v/>
      </c>
      <c r="N21" s="209">
        <f>+N11-N20</f>
        <v>40000</v>
      </c>
      <c r="O21" s="210"/>
      <c r="P21" s="2"/>
      <c r="Q21" s="2"/>
      <c r="R21" s="2"/>
      <c r="S21" s="2"/>
      <c r="T21" s="207">
        <f>+T11-T20</f>
        <v>90000</v>
      </c>
      <c r="U21" s="208"/>
      <c r="V21" s="183">
        <f>IF(I21=1,T21-N21,IF(I21=2,N21-T21,""))</f>
        <v>-50000</v>
      </c>
      <c r="W21" s="183"/>
      <c r="X21" s="199">
        <f t="shared" si="4"/>
        <v>-0.56000000000000005</v>
      </c>
      <c r="Y21" s="199"/>
      <c r="Z21" s="200" t="s">
        <v>9</v>
      </c>
      <c r="AA21" s="201"/>
      <c r="AB21" s="201"/>
      <c r="AC21" s="201"/>
      <c r="AD21" s="202"/>
    </row>
    <row r="22" spans="4:30" ht="14.25" thickBot="1" x14ac:dyDescent="0.2">
      <c r="D22" s="3">
        <v>8</v>
      </c>
      <c r="E22" s="143" t="s">
        <v>242</v>
      </c>
      <c r="F22" s="184"/>
      <c r="G22" s="184"/>
      <c r="H22" s="144"/>
      <c r="I22" s="2"/>
      <c r="J22" s="2"/>
      <c r="K22" s="2"/>
      <c r="L22" s="2"/>
      <c r="M22" s="2"/>
      <c r="N22" s="211">
        <f>IF(OR(N$11="",N$11=0),"",ROUND(N21/N$11,2))</f>
        <v>0.4</v>
      </c>
      <c r="O22" s="212"/>
      <c r="P22" s="2"/>
      <c r="Q22" s="2"/>
      <c r="R22" s="2"/>
      <c r="S22" s="2"/>
      <c r="T22" s="211">
        <f>IF(OR(T$11="",T$11=0),"",ROUND(T21/T$11,2))</f>
        <v>0.55000000000000004</v>
      </c>
      <c r="U22" s="212"/>
      <c r="V22" s="2"/>
      <c r="W22" s="2"/>
      <c r="X22" s="211">
        <f>-T22+N22</f>
        <v>-0.15000000000000002</v>
      </c>
      <c r="Y22" s="212"/>
      <c r="Z22" s="200" t="s">
        <v>9</v>
      </c>
      <c r="AA22" s="201"/>
      <c r="AB22" s="201"/>
      <c r="AC22" s="201"/>
      <c r="AD22" s="202"/>
    </row>
    <row r="23" spans="4:30" ht="14.25" thickBot="1" x14ac:dyDescent="0.2">
      <c r="D23" s="117" t="s">
        <v>243</v>
      </c>
    </row>
    <row r="24" spans="4:30" ht="14.25" thickBot="1" x14ac:dyDescent="0.2">
      <c r="D24" s="3">
        <v>9</v>
      </c>
      <c r="E24" s="204" t="s">
        <v>244</v>
      </c>
      <c r="F24" s="205"/>
      <c r="G24" s="205"/>
      <c r="H24" s="205"/>
      <c r="I24" s="119">
        <v>1</v>
      </c>
      <c r="J24" s="54" t="str">
        <f t="shared" ref="J24:J44" si="11">IF(I24=1,"借",IF(I24=2,"貸",""))</f>
        <v>借</v>
      </c>
      <c r="K24" s="119"/>
      <c r="L24" s="119">
        <v>2</v>
      </c>
      <c r="M24" s="54" t="str">
        <f t="shared" ref="M24:M44" si="12">IF(L24=1,"変",IF(L24=2,"固",""))</f>
        <v>固</v>
      </c>
      <c r="N24" s="181">
        <v>12000</v>
      </c>
      <c r="O24" s="182"/>
      <c r="P24" s="183" t="str">
        <f t="shared" ref="P24:P44" si="13">IF(AND($I24=1,$L24=1),$N24,IF(AND($I24=2,$L24=1),-$N24,""))</f>
        <v/>
      </c>
      <c r="Q24" s="183"/>
      <c r="R24" s="183">
        <f t="shared" ref="R24:R37" si="14">IF(AND($I24=1,$L24=2),N24,IF(AND($I24=2,$L24=2),-N24,""))</f>
        <v>12000</v>
      </c>
      <c r="S24" s="183"/>
      <c r="T24" s="203">
        <v>12000</v>
      </c>
      <c r="U24" s="203"/>
      <c r="V24" s="183">
        <f t="shared" ref="V24:V38" si="15">IF(I24=1,T24-N24,IF(I24=2,N24-T24,""))</f>
        <v>0</v>
      </c>
      <c r="W24" s="183"/>
      <c r="X24" s="199">
        <f t="shared" ref="X24:X34" si="16">IF(OR(T24="",T24=0),"",ROUND(V24/T24,2))</f>
        <v>0</v>
      </c>
      <c r="Y24" s="199"/>
      <c r="Z24" s="200" t="s">
        <v>9</v>
      </c>
      <c r="AA24" s="201"/>
      <c r="AB24" s="201"/>
      <c r="AC24" s="201"/>
      <c r="AD24" s="202"/>
    </row>
    <row r="25" spans="4:30" ht="14.25" thickBot="1" x14ac:dyDescent="0.2">
      <c r="D25" s="3">
        <v>10</v>
      </c>
      <c r="E25" s="204" t="s">
        <v>245</v>
      </c>
      <c r="F25" s="205"/>
      <c r="G25" s="205"/>
      <c r="H25" s="205"/>
      <c r="I25" s="119">
        <v>1</v>
      </c>
      <c r="J25" s="54" t="str">
        <f t="shared" si="11"/>
        <v>借</v>
      </c>
      <c r="K25" s="119"/>
      <c r="L25" s="119">
        <v>2</v>
      </c>
      <c r="M25" s="54" t="str">
        <f t="shared" si="12"/>
        <v>固</v>
      </c>
      <c r="N25" s="181">
        <v>3600</v>
      </c>
      <c r="O25" s="182"/>
      <c r="P25" s="183" t="str">
        <f t="shared" si="13"/>
        <v/>
      </c>
      <c r="Q25" s="183"/>
      <c r="R25" s="183">
        <f t="shared" si="14"/>
        <v>3600</v>
      </c>
      <c r="S25" s="183"/>
      <c r="T25" s="203">
        <v>3600</v>
      </c>
      <c r="U25" s="203"/>
      <c r="V25" s="183">
        <f t="shared" si="15"/>
        <v>0</v>
      </c>
      <c r="W25" s="183"/>
      <c r="X25" s="199">
        <f t="shared" si="16"/>
        <v>0</v>
      </c>
      <c r="Y25" s="199"/>
      <c r="Z25" s="200" t="s">
        <v>9</v>
      </c>
      <c r="AA25" s="201"/>
      <c r="AB25" s="201"/>
      <c r="AC25" s="201"/>
      <c r="AD25" s="202"/>
    </row>
    <row r="26" spans="4:30" ht="14.25" thickBot="1" x14ac:dyDescent="0.2">
      <c r="D26" s="3">
        <v>11</v>
      </c>
      <c r="E26" s="204" t="s">
        <v>246</v>
      </c>
      <c r="F26" s="205"/>
      <c r="G26" s="205"/>
      <c r="H26" s="205"/>
      <c r="I26" s="119">
        <v>1</v>
      </c>
      <c r="J26" s="54" t="str">
        <f t="shared" si="11"/>
        <v>借</v>
      </c>
      <c r="K26" s="119"/>
      <c r="L26" s="119">
        <v>2</v>
      </c>
      <c r="M26" s="54" t="str">
        <f t="shared" si="12"/>
        <v>固</v>
      </c>
      <c r="N26" s="181">
        <v>1625</v>
      </c>
      <c r="O26" s="182"/>
      <c r="P26" s="183" t="str">
        <f t="shared" si="13"/>
        <v/>
      </c>
      <c r="Q26" s="183"/>
      <c r="R26" s="183">
        <f t="shared" si="14"/>
        <v>1625</v>
      </c>
      <c r="S26" s="183"/>
      <c r="T26" s="203">
        <v>1625</v>
      </c>
      <c r="U26" s="203"/>
      <c r="V26" s="183">
        <f t="shared" si="15"/>
        <v>0</v>
      </c>
      <c r="W26" s="183"/>
      <c r="X26" s="199">
        <f t="shared" si="16"/>
        <v>0</v>
      </c>
      <c r="Y26" s="199"/>
      <c r="Z26" s="200" t="s">
        <v>9</v>
      </c>
      <c r="AA26" s="201"/>
      <c r="AB26" s="201"/>
      <c r="AC26" s="201"/>
      <c r="AD26" s="202"/>
    </row>
    <row r="27" spans="4:30" ht="14.25" thickBot="1" x14ac:dyDescent="0.2">
      <c r="D27" s="3">
        <v>12</v>
      </c>
      <c r="E27" s="204" t="s">
        <v>247</v>
      </c>
      <c r="F27" s="205"/>
      <c r="G27" s="205"/>
      <c r="H27" s="205"/>
      <c r="I27" s="119">
        <v>1</v>
      </c>
      <c r="J27" s="54" t="str">
        <f t="shared" si="11"/>
        <v>借</v>
      </c>
      <c r="K27" s="119" t="s">
        <v>19</v>
      </c>
      <c r="L27" s="119">
        <v>1</v>
      </c>
      <c r="M27" s="54" t="str">
        <f t="shared" si="12"/>
        <v>変</v>
      </c>
      <c r="N27" s="181">
        <v>1000</v>
      </c>
      <c r="O27" s="182"/>
      <c r="P27" s="183">
        <f t="shared" si="13"/>
        <v>1000</v>
      </c>
      <c r="Q27" s="183"/>
      <c r="R27" s="183" t="str">
        <f t="shared" si="14"/>
        <v/>
      </c>
      <c r="S27" s="183"/>
      <c r="T27" s="203">
        <v>3000</v>
      </c>
      <c r="U27" s="203"/>
      <c r="V27" s="183">
        <f t="shared" si="15"/>
        <v>2000</v>
      </c>
      <c r="W27" s="183"/>
      <c r="X27" s="199">
        <f t="shared" si="16"/>
        <v>0.67</v>
      </c>
      <c r="Y27" s="199"/>
      <c r="Z27" s="200" t="s">
        <v>9</v>
      </c>
      <c r="AA27" s="201"/>
      <c r="AB27" s="201"/>
      <c r="AC27" s="201"/>
      <c r="AD27" s="202"/>
    </row>
    <row r="28" spans="4:30" ht="14.25" thickBot="1" x14ac:dyDescent="0.2">
      <c r="D28" s="3">
        <v>13</v>
      </c>
      <c r="E28" s="204" t="s">
        <v>248</v>
      </c>
      <c r="F28" s="205"/>
      <c r="G28" s="205"/>
      <c r="H28" s="205"/>
      <c r="I28" s="119">
        <v>1</v>
      </c>
      <c r="J28" s="54" t="str">
        <f t="shared" si="11"/>
        <v>借</v>
      </c>
      <c r="K28" s="119" t="s">
        <v>19</v>
      </c>
      <c r="L28" s="119">
        <v>2</v>
      </c>
      <c r="M28" s="54" t="str">
        <f t="shared" si="12"/>
        <v>固</v>
      </c>
      <c r="N28" s="181">
        <v>1200</v>
      </c>
      <c r="O28" s="182"/>
      <c r="P28" s="183" t="str">
        <f t="shared" si="13"/>
        <v/>
      </c>
      <c r="Q28" s="183"/>
      <c r="R28" s="183">
        <f t="shared" si="14"/>
        <v>1200</v>
      </c>
      <c r="S28" s="183"/>
      <c r="T28" s="203">
        <v>2000</v>
      </c>
      <c r="U28" s="203"/>
      <c r="V28" s="183">
        <f t="shared" si="15"/>
        <v>800</v>
      </c>
      <c r="W28" s="183"/>
      <c r="X28" s="199">
        <f t="shared" si="16"/>
        <v>0.4</v>
      </c>
      <c r="Y28" s="199"/>
      <c r="Z28" s="200" t="s">
        <v>9</v>
      </c>
      <c r="AA28" s="201"/>
      <c r="AB28" s="201"/>
      <c r="AC28" s="201"/>
      <c r="AD28" s="202"/>
    </row>
    <row r="29" spans="4:30" ht="14.25" thickBot="1" x14ac:dyDescent="0.2">
      <c r="D29" s="3">
        <v>14</v>
      </c>
      <c r="E29" s="204" t="s">
        <v>249</v>
      </c>
      <c r="F29" s="205"/>
      <c r="G29" s="205"/>
      <c r="H29" s="205"/>
      <c r="I29" s="119">
        <v>1</v>
      </c>
      <c r="J29" s="54" t="str">
        <f t="shared" si="11"/>
        <v>借</v>
      </c>
      <c r="K29" s="119" t="s">
        <v>19</v>
      </c>
      <c r="L29" s="119">
        <v>2</v>
      </c>
      <c r="M29" s="54" t="str">
        <f t="shared" si="12"/>
        <v>固</v>
      </c>
      <c r="N29" s="181">
        <v>1600</v>
      </c>
      <c r="O29" s="182"/>
      <c r="P29" s="183" t="str">
        <f t="shared" si="13"/>
        <v/>
      </c>
      <c r="Q29" s="183"/>
      <c r="R29" s="183">
        <f t="shared" si="14"/>
        <v>1600</v>
      </c>
      <c r="S29" s="183"/>
      <c r="T29" s="203">
        <v>1650</v>
      </c>
      <c r="U29" s="203"/>
      <c r="V29" s="183">
        <f t="shared" si="15"/>
        <v>50</v>
      </c>
      <c r="W29" s="183"/>
      <c r="X29" s="199">
        <f t="shared" si="16"/>
        <v>0.03</v>
      </c>
      <c r="Y29" s="199"/>
      <c r="Z29" s="200" t="s">
        <v>9</v>
      </c>
      <c r="AA29" s="201"/>
      <c r="AB29" s="201"/>
      <c r="AC29" s="201"/>
      <c r="AD29" s="202"/>
    </row>
    <row r="30" spans="4:30" ht="14.25" thickBot="1" x14ac:dyDescent="0.2">
      <c r="D30" s="3">
        <v>15</v>
      </c>
      <c r="E30" s="204" t="s">
        <v>250</v>
      </c>
      <c r="F30" s="205"/>
      <c r="G30" s="205"/>
      <c r="H30" s="205"/>
      <c r="I30" s="119">
        <v>1</v>
      </c>
      <c r="J30" s="54" t="str">
        <f t="shared" si="11"/>
        <v>借</v>
      </c>
      <c r="K30" s="119" t="s">
        <v>19</v>
      </c>
      <c r="L30" s="119">
        <v>2</v>
      </c>
      <c r="M30" s="54" t="str">
        <f t="shared" si="12"/>
        <v>固</v>
      </c>
      <c r="N30" s="181">
        <v>960</v>
      </c>
      <c r="O30" s="182"/>
      <c r="P30" s="183" t="str">
        <f t="shared" si="13"/>
        <v/>
      </c>
      <c r="Q30" s="183"/>
      <c r="R30" s="183">
        <f t="shared" si="14"/>
        <v>960</v>
      </c>
      <c r="S30" s="183"/>
      <c r="T30" s="203">
        <v>980</v>
      </c>
      <c r="U30" s="203"/>
      <c r="V30" s="183">
        <f t="shared" si="15"/>
        <v>20</v>
      </c>
      <c r="W30" s="183"/>
      <c r="X30" s="199">
        <f t="shared" si="16"/>
        <v>0.02</v>
      </c>
      <c r="Y30" s="199"/>
      <c r="Z30" s="200" t="s">
        <v>9</v>
      </c>
      <c r="AA30" s="201"/>
      <c r="AB30" s="201"/>
      <c r="AC30" s="201"/>
      <c r="AD30" s="202"/>
    </row>
    <row r="31" spans="4:30" ht="14.25" thickBot="1" x14ac:dyDescent="0.2">
      <c r="D31" s="3">
        <v>16</v>
      </c>
      <c r="E31" s="204" t="s">
        <v>251</v>
      </c>
      <c r="F31" s="205"/>
      <c r="G31" s="205"/>
      <c r="H31" s="205"/>
      <c r="I31" s="119">
        <v>1</v>
      </c>
      <c r="J31" s="54" t="str">
        <f t="shared" si="11"/>
        <v>借</v>
      </c>
      <c r="K31" s="119" t="s">
        <v>19</v>
      </c>
      <c r="L31" s="119">
        <v>2</v>
      </c>
      <c r="M31" s="54" t="str">
        <f t="shared" si="12"/>
        <v>固</v>
      </c>
      <c r="N31" s="181">
        <v>840</v>
      </c>
      <c r="O31" s="182"/>
      <c r="P31" s="183" t="str">
        <f t="shared" si="13"/>
        <v/>
      </c>
      <c r="Q31" s="183"/>
      <c r="R31" s="183">
        <f t="shared" si="14"/>
        <v>840</v>
      </c>
      <c r="S31" s="183"/>
      <c r="T31" s="203">
        <v>860</v>
      </c>
      <c r="U31" s="203"/>
      <c r="V31" s="183">
        <f t="shared" si="15"/>
        <v>20</v>
      </c>
      <c r="W31" s="183"/>
      <c r="X31" s="199">
        <f t="shared" si="16"/>
        <v>0.02</v>
      </c>
      <c r="Y31" s="199"/>
      <c r="Z31" s="200" t="s">
        <v>9</v>
      </c>
      <c r="AA31" s="201"/>
      <c r="AB31" s="201"/>
      <c r="AC31" s="201"/>
      <c r="AD31" s="202"/>
    </row>
    <row r="32" spans="4:30" ht="14.25" thickBot="1" x14ac:dyDescent="0.2">
      <c r="D32" s="3">
        <v>17</v>
      </c>
      <c r="E32" s="204" t="s">
        <v>252</v>
      </c>
      <c r="F32" s="205"/>
      <c r="G32" s="205"/>
      <c r="H32" s="205"/>
      <c r="I32" s="119">
        <v>1</v>
      </c>
      <c r="J32" s="54" t="str">
        <f t="shared" si="11"/>
        <v>借</v>
      </c>
      <c r="K32" s="119" t="s">
        <v>19</v>
      </c>
      <c r="L32" s="119">
        <v>2</v>
      </c>
      <c r="M32" s="54" t="str">
        <f t="shared" si="12"/>
        <v>固</v>
      </c>
      <c r="N32" s="181">
        <v>1200</v>
      </c>
      <c r="O32" s="182"/>
      <c r="P32" s="183" t="str">
        <f t="shared" si="13"/>
        <v/>
      </c>
      <c r="Q32" s="183"/>
      <c r="R32" s="183">
        <f t="shared" si="14"/>
        <v>1200</v>
      </c>
      <c r="S32" s="183"/>
      <c r="T32" s="203">
        <v>1250</v>
      </c>
      <c r="U32" s="203"/>
      <c r="V32" s="183">
        <f t="shared" si="15"/>
        <v>50</v>
      </c>
      <c r="W32" s="183"/>
      <c r="X32" s="199">
        <f t="shared" si="16"/>
        <v>0.04</v>
      </c>
      <c r="Y32" s="199"/>
      <c r="Z32" s="200" t="s">
        <v>9</v>
      </c>
      <c r="AA32" s="201"/>
      <c r="AB32" s="201"/>
      <c r="AC32" s="201"/>
      <c r="AD32" s="202"/>
    </row>
    <row r="33" spans="4:30" ht="14.25" thickBot="1" x14ac:dyDescent="0.2">
      <c r="D33" s="3">
        <v>18</v>
      </c>
      <c r="E33" s="204" t="s">
        <v>253</v>
      </c>
      <c r="F33" s="205"/>
      <c r="G33" s="205"/>
      <c r="H33" s="205"/>
      <c r="I33" s="119">
        <v>1</v>
      </c>
      <c r="J33" s="54" t="str">
        <f t="shared" si="11"/>
        <v>借</v>
      </c>
      <c r="K33" s="119" t="s">
        <v>19</v>
      </c>
      <c r="L33" s="119">
        <v>2</v>
      </c>
      <c r="M33" s="54" t="str">
        <f t="shared" si="12"/>
        <v>固</v>
      </c>
      <c r="N33" s="181">
        <v>4800</v>
      </c>
      <c r="O33" s="182"/>
      <c r="P33" s="183" t="str">
        <f t="shared" si="13"/>
        <v/>
      </c>
      <c r="Q33" s="183"/>
      <c r="R33" s="183">
        <f t="shared" si="14"/>
        <v>4800</v>
      </c>
      <c r="S33" s="183"/>
      <c r="T33" s="203">
        <v>4800</v>
      </c>
      <c r="U33" s="203"/>
      <c r="V33" s="183">
        <f t="shared" si="15"/>
        <v>0</v>
      </c>
      <c r="W33" s="183"/>
      <c r="X33" s="199">
        <f t="shared" si="16"/>
        <v>0</v>
      </c>
      <c r="Y33" s="199"/>
      <c r="Z33" s="200" t="s">
        <v>9</v>
      </c>
      <c r="AA33" s="201"/>
      <c r="AB33" s="201"/>
      <c r="AC33" s="201"/>
      <c r="AD33" s="202"/>
    </row>
    <row r="34" spans="4:30" ht="14.25" thickBot="1" x14ac:dyDescent="0.2">
      <c r="D34" s="3">
        <v>19</v>
      </c>
      <c r="E34" s="204" t="s">
        <v>254</v>
      </c>
      <c r="F34" s="205"/>
      <c r="G34" s="205"/>
      <c r="H34" s="205"/>
      <c r="I34" s="119">
        <v>1</v>
      </c>
      <c r="J34" s="54" t="str">
        <f t="shared" si="11"/>
        <v>借</v>
      </c>
      <c r="K34" s="119" t="s">
        <v>19</v>
      </c>
      <c r="L34" s="119">
        <v>2</v>
      </c>
      <c r="M34" s="54" t="str">
        <f t="shared" si="12"/>
        <v>固</v>
      </c>
      <c r="N34" s="181">
        <v>5200</v>
      </c>
      <c r="O34" s="182"/>
      <c r="P34" s="183" t="str">
        <f t="shared" si="13"/>
        <v/>
      </c>
      <c r="Q34" s="183"/>
      <c r="R34" s="183">
        <f t="shared" si="14"/>
        <v>5200</v>
      </c>
      <c r="S34" s="183"/>
      <c r="T34" s="203">
        <v>3000</v>
      </c>
      <c r="U34" s="203"/>
      <c r="V34" s="183">
        <f t="shared" si="15"/>
        <v>-2200</v>
      </c>
      <c r="W34" s="183"/>
      <c r="X34" s="199">
        <f t="shared" si="16"/>
        <v>-0.73</v>
      </c>
      <c r="Y34" s="199"/>
      <c r="Z34" s="200" t="s">
        <v>9</v>
      </c>
      <c r="AA34" s="201"/>
      <c r="AB34" s="201"/>
      <c r="AC34" s="201"/>
      <c r="AD34" s="202"/>
    </row>
    <row r="35" spans="4:30" ht="14.25" thickBot="1" x14ac:dyDescent="0.2">
      <c r="D35" s="3">
        <v>20</v>
      </c>
      <c r="E35" s="204" t="s">
        <v>255</v>
      </c>
      <c r="F35" s="205"/>
      <c r="G35" s="205"/>
      <c r="H35" s="205"/>
      <c r="I35" s="119">
        <v>1</v>
      </c>
      <c r="J35" s="54" t="str">
        <f t="shared" si="11"/>
        <v>借</v>
      </c>
      <c r="K35" s="119"/>
      <c r="L35" s="119">
        <v>2</v>
      </c>
      <c r="M35" s="54" t="str">
        <f t="shared" si="12"/>
        <v>固</v>
      </c>
      <c r="N35" s="181">
        <v>1200</v>
      </c>
      <c r="O35" s="182"/>
      <c r="P35" s="183" t="str">
        <f t="shared" si="13"/>
        <v/>
      </c>
      <c r="Q35" s="183"/>
      <c r="R35" s="183">
        <f t="shared" si="14"/>
        <v>1200</v>
      </c>
      <c r="S35" s="183"/>
      <c r="T35" s="203">
        <v>2200</v>
      </c>
      <c r="U35" s="203"/>
      <c r="V35" s="183">
        <f t="shared" si="15"/>
        <v>1000</v>
      </c>
      <c r="W35" s="183"/>
      <c r="X35" s="199">
        <f>IF(OR(T35="",T35=0),"",ROUND(V35/T35,2))</f>
        <v>0.45</v>
      </c>
      <c r="Y35" s="199"/>
      <c r="Z35" s="200" t="s">
        <v>9</v>
      </c>
      <c r="AA35" s="201"/>
      <c r="AB35" s="201"/>
      <c r="AC35" s="201"/>
      <c r="AD35" s="202"/>
    </row>
    <row r="36" spans="4:30" ht="14.25" thickBot="1" x14ac:dyDescent="0.2">
      <c r="D36" s="3">
        <v>21</v>
      </c>
      <c r="E36" s="204" t="s">
        <v>256</v>
      </c>
      <c r="F36" s="205"/>
      <c r="G36" s="205"/>
      <c r="H36" s="205"/>
      <c r="I36" s="119">
        <v>1</v>
      </c>
      <c r="J36" s="54" t="str">
        <f t="shared" si="11"/>
        <v>借</v>
      </c>
      <c r="K36" s="119"/>
      <c r="L36" s="119">
        <v>2</v>
      </c>
      <c r="M36" s="54" t="str">
        <f t="shared" si="12"/>
        <v>固</v>
      </c>
      <c r="N36" s="181">
        <v>1695</v>
      </c>
      <c r="O36" s="182"/>
      <c r="P36" s="183" t="str">
        <f t="shared" si="13"/>
        <v/>
      </c>
      <c r="Q36" s="183"/>
      <c r="R36" s="183">
        <f t="shared" si="14"/>
        <v>1695</v>
      </c>
      <c r="S36" s="183"/>
      <c r="T36" s="203">
        <v>1695</v>
      </c>
      <c r="U36" s="203"/>
      <c r="V36" s="183">
        <f t="shared" si="15"/>
        <v>0</v>
      </c>
      <c r="W36" s="183"/>
      <c r="X36" s="199">
        <f t="shared" ref="X36:X39" si="17">IF(OR(T36="",T36=0),"",ROUND(V36/T36,2))</f>
        <v>0</v>
      </c>
      <c r="Y36" s="199"/>
      <c r="Z36" s="200" t="s">
        <v>9</v>
      </c>
      <c r="AA36" s="201"/>
      <c r="AB36" s="201"/>
      <c r="AC36" s="201"/>
      <c r="AD36" s="202"/>
    </row>
    <row r="37" spans="4:30" ht="14.25" thickBot="1" x14ac:dyDescent="0.2">
      <c r="D37" s="3">
        <v>22</v>
      </c>
      <c r="E37" s="204" t="s">
        <v>257</v>
      </c>
      <c r="F37" s="205"/>
      <c r="G37" s="205"/>
      <c r="H37" s="205"/>
      <c r="I37" s="119">
        <v>1</v>
      </c>
      <c r="J37" s="54" t="str">
        <f t="shared" si="11"/>
        <v>借</v>
      </c>
      <c r="K37" s="119" t="s">
        <v>19</v>
      </c>
      <c r="L37" s="119">
        <v>2</v>
      </c>
      <c r="M37" s="54" t="str">
        <f t="shared" si="12"/>
        <v>固</v>
      </c>
      <c r="N37" s="181">
        <v>340</v>
      </c>
      <c r="O37" s="182"/>
      <c r="P37" s="183" t="str">
        <f t="shared" si="13"/>
        <v/>
      </c>
      <c r="Q37" s="183"/>
      <c r="R37" s="183">
        <f t="shared" si="14"/>
        <v>340</v>
      </c>
      <c r="S37" s="183"/>
      <c r="T37" s="203">
        <v>350</v>
      </c>
      <c r="U37" s="203"/>
      <c r="V37" s="183">
        <f t="shared" si="15"/>
        <v>10</v>
      </c>
      <c r="W37" s="183"/>
      <c r="X37" s="199">
        <f t="shared" si="17"/>
        <v>0.03</v>
      </c>
      <c r="Y37" s="199"/>
      <c r="Z37" s="200" t="s">
        <v>9</v>
      </c>
      <c r="AA37" s="201"/>
      <c r="AB37" s="201"/>
      <c r="AC37" s="201"/>
      <c r="AD37" s="202"/>
    </row>
    <row r="38" spans="4:30" ht="14.25" thickBot="1" x14ac:dyDescent="0.2">
      <c r="D38" s="3">
        <v>23</v>
      </c>
      <c r="E38" s="204" t="s">
        <v>258</v>
      </c>
      <c r="F38" s="205"/>
      <c r="G38" s="205"/>
      <c r="H38" s="205"/>
      <c r="I38" s="119">
        <v>1</v>
      </c>
      <c r="J38" s="54" t="str">
        <f t="shared" si="11"/>
        <v>借</v>
      </c>
      <c r="K38" s="119"/>
      <c r="L38" s="119"/>
      <c r="M38" s="54" t="str">
        <f t="shared" si="12"/>
        <v/>
      </c>
      <c r="N38" s="207">
        <f>SUM(N24:O37)</f>
        <v>37260</v>
      </c>
      <c r="O38" s="208"/>
      <c r="P38" s="207">
        <f t="shared" ref="P38" si="18">SUM(P24:Q37)</f>
        <v>1000</v>
      </c>
      <c r="Q38" s="208"/>
      <c r="R38" s="207">
        <f t="shared" ref="R38" si="19">SUM(R24:S37)</f>
        <v>36260</v>
      </c>
      <c r="S38" s="208"/>
      <c r="T38" s="207">
        <f t="shared" ref="T38" si="20">SUM(T24:U37)</f>
        <v>39010</v>
      </c>
      <c r="U38" s="208"/>
      <c r="V38" s="183">
        <f t="shared" si="15"/>
        <v>1750</v>
      </c>
      <c r="W38" s="183"/>
      <c r="X38" s="199">
        <f t="shared" si="17"/>
        <v>0.04</v>
      </c>
      <c r="Y38" s="199"/>
      <c r="Z38" s="200" t="s">
        <v>9</v>
      </c>
      <c r="AA38" s="201"/>
      <c r="AB38" s="201"/>
      <c r="AC38" s="201"/>
      <c r="AD38" s="202"/>
    </row>
    <row r="39" spans="4:30" ht="14.25" thickBot="1" x14ac:dyDescent="0.2">
      <c r="D39" s="3">
        <v>24</v>
      </c>
      <c r="E39" s="143" t="s">
        <v>259</v>
      </c>
      <c r="F39" s="184"/>
      <c r="G39" s="184"/>
      <c r="H39" s="206"/>
      <c r="I39" s="119">
        <v>2</v>
      </c>
      <c r="J39" s="54" t="str">
        <f>IF(I39=1,"借",IF(I39=2,"貸",""))</f>
        <v>貸</v>
      </c>
      <c r="K39" s="119"/>
      <c r="L39" s="119"/>
      <c r="M39" s="54" t="str">
        <f>IF(L39=1,"変",IF(L39=2,"固",""))</f>
        <v/>
      </c>
      <c r="N39" s="209">
        <f>+N21-N38</f>
        <v>2740</v>
      </c>
      <c r="O39" s="210"/>
      <c r="P39" s="2"/>
      <c r="Q39" s="2"/>
      <c r="R39" s="2"/>
      <c r="S39" s="2"/>
      <c r="T39" s="209">
        <f>+T21-T38</f>
        <v>50990</v>
      </c>
      <c r="U39" s="210"/>
      <c r="V39" s="183">
        <f>IF(I39=1,T39-N39,IF(I39=2,N39-T39,""))</f>
        <v>-48250</v>
      </c>
      <c r="W39" s="183"/>
      <c r="X39" s="199">
        <f t="shared" si="17"/>
        <v>-0.95</v>
      </c>
      <c r="Y39" s="199"/>
      <c r="Z39" s="200" t="s">
        <v>9</v>
      </c>
      <c r="AA39" s="201"/>
      <c r="AB39" s="201"/>
      <c r="AC39" s="201"/>
      <c r="AD39" s="202"/>
    </row>
    <row r="40" spans="4:30" ht="14.25" thickBot="1" x14ac:dyDescent="0.2">
      <c r="D40" s="3">
        <v>25</v>
      </c>
      <c r="E40" s="143" t="s">
        <v>260</v>
      </c>
      <c r="F40" s="184"/>
      <c r="G40" s="184"/>
      <c r="H40" s="144"/>
      <c r="I40" s="2"/>
      <c r="J40" s="2"/>
      <c r="K40" s="2"/>
      <c r="L40" s="2"/>
      <c r="M40" s="2"/>
      <c r="N40" s="211">
        <f>IF(OR(N$11="",N$11=0),"",ROUND(N39/N$11,2))</f>
        <v>0.03</v>
      </c>
      <c r="O40" s="212"/>
      <c r="P40" s="2"/>
      <c r="Q40" s="2"/>
      <c r="R40" s="2"/>
      <c r="S40" s="2"/>
      <c r="T40" s="211">
        <f>IF(OR(T$11="",T$11=0),"",ROUND(T39/T$11,2))</f>
        <v>0.31</v>
      </c>
      <c r="U40" s="212"/>
      <c r="V40" s="2"/>
      <c r="W40" s="2"/>
      <c r="X40" s="211">
        <f>-T40+N40</f>
        <v>-0.28000000000000003</v>
      </c>
      <c r="Y40" s="212"/>
      <c r="Z40" s="200" t="s">
        <v>9</v>
      </c>
      <c r="AA40" s="201"/>
      <c r="AB40" s="201"/>
      <c r="AC40" s="201"/>
      <c r="AD40" s="202"/>
    </row>
    <row r="41" spans="4:30" ht="14.25" thickBot="1" x14ac:dyDescent="0.2">
      <c r="D41" s="117" t="s">
        <v>261</v>
      </c>
    </row>
    <row r="42" spans="4:30" ht="14.25" thickBot="1" x14ac:dyDescent="0.2">
      <c r="D42" s="3">
        <v>26</v>
      </c>
      <c r="E42" s="204" t="s">
        <v>262</v>
      </c>
      <c r="F42" s="205"/>
      <c r="G42" s="205"/>
      <c r="H42" s="205"/>
      <c r="I42" s="119">
        <v>2</v>
      </c>
      <c r="J42" s="54" t="str">
        <f t="shared" si="11"/>
        <v>貸</v>
      </c>
      <c r="K42" s="119"/>
      <c r="L42" s="119">
        <v>2</v>
      </c>
      <c r="M42" s="54" t="str">
        <f t="shared" si="12"/>
        <v>固</v>
      </c>
      <c r="N42" s="181">
        <v>5</v>
      </c>
      <c r="O42" s="182"/>
      <c r="P42" s="183" t="str">
        <f t="shared" si="13"/>
        <v/>
      </c>
      <c r="Q42" s="183"/>
      <c r="R42" s="183">
        <f t="shared" ref="R42" si="21">IF(AND($I42=1,$L42=2),N42,IF(AND($I42=2,$L42=2),-N42,""))</f>
        <v>-5</v>
      </c>
      <c r="S42" s="183"/>
      <c r="T42" s="203">
        <v>6</v>
      </c>
      <c r="U42" s="203"/>
      <c r="V42" s="183">
        <f t="shared" ref="V42" si="22">IF(I42=1,T42-N42,IF(I42=2,N42-T42,""))</f>
        <v>-1</v>
      </c>
      <c r="W42" s="183"/>
      <c r="X42" s="199">
        <f t="shared" ref="X42" si="23">IF(OR(T42="",T42=0),"",ROUND(V42/T42,2))</f>
        <v>-0.17</v>
      </c>
      <c r="Y42" s="199"/>
      <c r="Z42" s="200" t="s">
        <v>9</v>
      </c>
      <c r="AA42" s="201"/>
      <c r="AB42" s="201"/>
      <c r="AC42" s="201"/>
      <c r="AD42" s="202"/>
    </row>
    <row r="43" spans="4:30" ht="14.25" thickBot="1" x14ac:dyDescent="0.2">
      <c r="D43" s="117" t="s">
        <v>263</v>
      </c>
    </row>
    <row r="44" spans="4:30" ht="14.25" thickBot="1" x14ac:dyDescent="0.2">
      <c r="D44" s="3">
        <v>27</v>
      </c>
      <c r="E44" s="204" t="s">
        <v>264</v>
      </c>
      <c r="F44" s="205"/>
      <c r="G44" s="205"/>
      <c r="H44" s="205"/>
      <c r="I44" s="119">
        <v>1</v>
      </c>
      <c r="J44" s="54" t="str">
        <f t="shared" si="11"/>
        <v>借</v>
      </c>
      <c r="K44" s="119"/>
      <c r="L44" s="119">
        <v>2</v>
      </c>
      <c r="M44" s="54" t="str">
        <f t="shared" si="12"/>
        <v>固</v>
      </c>
      <c r="N44" s="181">
        <v>700</v>
      </c>
      <c r="O44" s="182"/>
      <c r="P44" s="183" t="str">
        <f t="shared" si="13"/>
        <v/>
      </c>
      <c r="Q44" s="183"/>
      <c r="R44" s="183">
        <f t="shared" ref="R44" si="24">IF(AND($I44=1,$L44=2),N44,IF(AND($I44=2,$L44=2),-N44,""))</f>
        <v>700</v>
      </c>
      <c r="S44" s="183"/>
      <c r="T44" s="203">
        <v>300</v>
      </c>
      <c r="U44" s="203"/>
      <c r="V44" s="183">
        <f t="shared" ref="V44" si="25">IF(I44=1,T44-N44,IF(I44=2,N44-T44,""))</f>
        <v>-400</v>
      </c>
      <c r="W44" s="183"/>
      <c r="X44" s="199">
        <f t="shared" ref="X44:X45" si="26">IF(OR(T44="",T44=0),"",ROUND(V44/T44,2))</f>
        <v>-1.33</v>
      </c>
      <c r="Y44" s="199"/>
      <c r="Z44" s="200" t="s">
        <v>9</v>
      </c>
      <c r="AA44" s="201"/>
      <c r="AB44" s="201"/>
      <c r="AC44" s="201"/>
      <c r="AD44" s="202"/>
    </row>
    <row r="45" spans="4:30" ht="14.25" thickBot="1" x14ac:dyDescent="0.2">
      <c r="D45" s="3">
        <v>28</v>
      </c>
      <c r="E45" s="143" t="s">
        <v>265</v>
      </c>
      <c r="F45" s="184"/>
      <c r="G45" s="184"/>
      <c r="H45" s="206"/>
      <c r="I45" s="119">
        <v>2</v>
      </c>
      <c r="J45" s="54" t="str">
        <f>IF(I45=1,"借",IF(I45=2,"貸",""))</f>
        <v>貸</v>
      </c>
      <c r="K45" s="119"/>
      <c r="L45" s="119"/>
      <c r="M45" s="54" t="str">
        <f>IF(L45=1,"変",IF(L45=2,"固",""))</f>
        <v/>
      </c>
      <c r="N45" s="209">
        <f>+N39+N42-N44</f>
        <v>2045</v>
      </c>
      <c r="O45" s="210"/>
      <c r="P45" s="2"/>
      <c r="Q45" s="2"/>
      <c r="R45" s="2"/>
      <c r="S45" s="2"/>
      <c r="T45" s="209">
        <f>+T39+T42-T44</f>
        <v>50696</v>
      </c>
      <c r="U45" s="210"/>
      <c r="V45" s="183">
        <f>IF(I45=1,T45-N45,IF(I45=2,N45-T45,""))</f>
        <v>-48651</v>
      </c>
      <c r="W45" s="183"/>
      <c r="X45" s="199">
        <f t="shared" si="26"/>
        <v>-0.96</v>
      </c>
      <c r="Y45" s="199"/>
      <c r="Z45" s="200" t="s">
        <v>9</v>
      </c>
      <c r="AA45" s="201"/>
      <c r="AB45" s="201"/>
      <c r="AC45" s="201"/>
      <c r="AD45" s="202"/>
    </row>
    <row r="46" spans="4:30" ht="14.25" thickBot="1" x14ac:dyDescent="0.2">
      <c r="D46" s="3">
        <v>29</v>
      </c>
      <c r="E46" s="143" t="s">
        <v>266</v>
      </c>
      <c r="F46" s="184"/>
      <c r="G46" s="184"/>
      <c r="H46" s="144"/>
      <c r="I46" s="2"/>
      <c r="J46" s="2"/>
      <c r="K46" s="2"/>
      <c r="L46" s="2"/>
      <c r="M46" s="2"/>
      <c r="N46" s="211">
        <f>IF(OR(N$11="",N$11=0),"",ROUND(N45/N$11,2))</f>
        <v>0.02</v>
      </c>
      <c r="O46" s="212"/>
      <c r="P46" s="2"/>
      <c r="Q46" s="2"/>
      <c r="R46" s="2"/>
      <c r="S46" s="2"/>
      <c r="T46" s="211">
        <f>IF(OR(T$11="",T$11=0),"",ROUND(T45/T$11,2))</f>
        <v>0.31</v>
      </c>
      <c r="U46" s="212"/>
      <c r="V46" s="2"/>
      <c r="W46" s="2"/>
      <c r="X46" s="211">
        <f>-T46+N46</f>
        <v>-0.28999999999999998</v>
      </c>
      <c r="Y46" s="212"/>
      <c r="Z46" s="200" t="s">
        <v>9</v>
      </c>
      <c r="AA46" s="201"/>
      <c r="AB46" s="201"/>
      <c r="AC46" s="201"/>
      <c r="AD46" s="202"/>
    </row>
    <row r="47" spans="4:30" ht="14.25" thickBot="1" x14ac:dyDescent="0.2">
      <c r="D47" s="117" t="s">
        <v>267</v>
      </c>
    </row>
    <row r="48" spans="4:30" ht="14.25" thickBot="1" x14ac:dyDescent="0.2">
      <c r="D48" s="3">
        <v>30</v>
      </c>
      <c r="E48" s="204" t="s">
        <v>268</v>
      </c>
      <c r="F48" s="205"/>
      <c r="G48" s="205"/>
      <c r="H48" s="205"/>
      <c r="I48" s="119">
        <v>2</v>
      </c>
      <c r="J48" s="54" t="str">
        <f t="shared" ref="J48:J50" si="27">IF(I48=1,"借",IF(I48=2,"貸",""))</f>
        <v>貸</v>
      </c>
      <c r="K48" s="119"/>
      <c r="L48" s="119"/>
      <c r="M48" s="54" t="str">
        <f t="shared" ref="M48:M50" si="28">IF(L48=1,"変",IF(L48=2,"固",""))</f>
        <v/>
      </c>
      <c r="N48" s="181"/>
      <c r="O48" s="182"/>
      <c r="P48" s="183" t="str">
        <f t="shared" ref="P48:P55" si="29">IF(AND($I48=1,$L48=1),$N48,IF(AND($I48=2,$L48=1),-$N48,""))</f>
        <v/>
      </c>
      <c r="Q48" s="183"/>
      <c r="R48" s="183" t="str">
        <f t="shared" ref="R48" si="30">IF(AND($I48=1,$L48=2),N48,IF(AND($I48=2,$L48=2),-N48,""))</f>
        <v/>
      </c>
      <c r="S48" s="183"/>
      <c r="T48" s="203"/>
      <c r="U48" s="203"/>
      <c r="V48" s="183">
        <f t="shared" ref="V48" si="31">IF(I48=1,T48-N48,IF(I48=2,N48-T48,""))</f>
        <v>0</v>
      </c>
      <c r="W48" s="183"/>
      <c r="X48" s="199" t="str">
        <f t="shared" ref="X48" si="32">IF(OR(T48="",T48=0),"",ROUND(V48/T48,2))</f>
        <v/>
      </c>
      <c r="Y48" s="199"/>
      <c r="Z48" s="200" t="s">
        <v>9</v>
      </c>
      <c r="AA48" s="201"/>
      <c r="AB48" s="201"/>
      <c r="AC48" s="201"/>
      <c r="AD48" s="202"/>
    </row>
    <row r="49" spans="4:30" ht="14.25" thickBot="1" x14ac:dyDescent="0.2">
      <c r="D49" s="117" t="s">
        <v>269</v>
      </c>
    </row>
    <row r="50" spans="4:30" ht="14.25" thickBot="1" x14ac:dyDescent="0.2">
      <c r="D50" s="3">
        <v>31</v>
      </c>
      <c r="E50" s="204" t="s">
        <v>270</v>
      </c>
      <c r="F50" s="205"/>
      <c r="G50" s="205"/>
      <c r="H50" s="205"/>
      <c r="I50" s="119">
        <v>1</v>
      </c>
      <c r="J50" s="54" t="str">
        <f t="shared" si="27"/>
        <v>借</v>
      </c>
      <c r="K50" s="119"/>
      <c r="L50" s="119"/>
      <c r="M50" s="54" t="str">
        <f t="shared" si="28"/>
        <v/>
      </c>
      <c r="N50" s="181"/>
      <c r="O50" s="182"/>
      <c r="P50" s="183" t="str">
        <f t="shared" si="29"/>
        <v/>
      </c>
      <c r="Q50" s="183"/>
      <c r="R50" s="183" t="str">
        <f t="shared" ref="R50" si="33">IF(AND($I50=1,$L50=2),N50,IF(AND($I50=2,$L50=2),-N50,""))</f>
        <v/>
      </c>
      <c r="S50" s="183"/>
      <c r="T50" s="203"/>
      <c r="U50" s="203"/>
      <c r="V50" s="183">
        <f t="shared" ref="V50" si="34">IF(I50=1,T50-N50,IF(I50=2,N50-T50,""))</f>
        <v>0</v>
      </c>
      <c r="W50" s="183"/>
      <c r="X50" s="199" t="str">
        <f t="shared" ref="X50:X51" si="35">IF(OR(T50="",T50=0),"",ROUND(V50/T50,2))</f>
        <v/>
      </c>
      <c r="Y50" s="199"/>
      <c r="Z50" s="200" t="s">
        <v>9</v>
      </c>
      <c r="AA50" s="201"/>
      <c r="AB50" s="201"/>
      <c r="AC50" s="201"/>
      <c r="AD50" s="202"/>
    </row>
    <row r="51" spans="4:30" ht="14.25" thickBot="1" x14ac:dyDescent="0.2">
      <c r="D51" s="3">
        <v>32</v>
      </c>
      <c r="E51" s="143" t="s">
        <v>271</v>
      </c>
      <c r="F51" s="184"/>
      <c r="G51" s="184"/>
      <c r="H51" s="206"/>
      <c r="I51" s="119">
        <v>2</v>
      </c>
      <c r="J51" s="54" t="str">
        <f>IF(I51=1,"借",IF(I51=2,"貸",""))</f>
        <v>貸</v>
      </c>
      <c r="K51" s="119"/>
      <c r="L51" s="119"/>
      <c r="M51" s="54" t="str">
        <f>IF(L51=1,"変",IF(L51=2,"固",""))</f>
        <v/>
      </c>
      <c r="N51" s="209">
        <f>+N45+N48-N50</f>
        <v>2045</v>
      </c>
      <c r="O51" s="210"/>
      <c r="P51" s="2"/>
      <c r="Q51" s="2"/>
      <c r="R51" s="2"/>
      <c r="S51" s="2"/>
      <c r="T51" s="209">
        <f>+T45+T48-T50</f>
        <v>50696</v>
      </c>
      <c r="U51" s="210"/>
      <c r="V51" s="183">
        <f>IF(I51=1,T51-N51,IF(I51=2,N51-T51,""))</f>
        <v>-48651</v>
      </c>
      <c r="W51" s="183"/>
      <c r="X51" s="199">
        <f t="shared" si="35"/>
        <v>-0.96</v>
      </c>
      <c r="Y51" s="199"/>
      <c r="Z51" s="200" t="s">
        <v>9</v>
      </c>
      <c r="AA51" s="201"/>
      <c r="AB51" s="201"/>
      <c r="AC51" s="201"/>
      <c r="AD51" s="202"/>
    </row>
    <row r="52" spans="4:30" ht="14.25" thickBot="1" x14ac:dyDescent="0.2">
      <c r="D52" s="3">
        <v>33</v>
      </c>
      <c r="E52" s="143" t="s">
        <v>272</v>
      </c>
      <c r="F52" s="184"/>
      <c r="G52" s="184"/>
      <c r="H52" s="144"/>
      <c r="I52" s="2"/>
      <c r="J52" s="2"/>
      <c r="K52" s="2"/>
      <c r="L52" s="2"/>
      <c r="M52" s="2"/>
      <c r="N52" s="211">
        <f>IF(OR(N$11="",N$11=0),"",ROUND(N51/N$11,2))</f>
        <v>0.02</v>
      </c>
      <c r="O52" s="212"/>
      <c r="P52" s="2"/>
      <c r="Q52" s="2"/>
      <c r="R52" s="2"/>
      <c r="S52" s="2"/>
      <c r="T52" s="211">
        <f>IF(OR(T$11="",T$11=0),"",ROUND(T51/T$11,2))</f>
        <v>0.31</v>
      </c>
      <c r="U52" s="212"/>
      <c r="V52" s="2"/>
      <c r="W52" s="2"/>
      <c r="X52" s="211">
        <f>-T52+N52</f>
        <v>-0.28999999999999998</v>
      </c>
      <c r="Y52" s="212"/>
      <c r="Z52" s="200" t="s">
        <v>9</v>
      </c>
      <c r="AA52" s="201"/>
      <c r="AB52" s="201"/>
      <c r="AC52" s="201"/>
      <c r="AD52" s="202"/>
    </row>
    <row r="53" spans="4:30" ht="14.25" thickBot="1" x14ac:dyDescent="0.2">
      <c r="D53" s="117" t="s">
        <v>273</v>
      </c>
    </row>
    <row r="54" spans="4:30" ht="14.25" thickBot="1" x14ac:dyDescent="0.2">
      <c r="D54" s="3">
        <v>32</v>
      </c>
      <c r="E54" s="204" t="s">
        <v>274</v>
      </c>
      <c r="F54" s="205"/>
      <c r="G54" s="205"/>
      <c r="H54" s="205"/>
      <c r="I54" s="119">
        <v>1</v>
      </c>
      <c r="J54" s="54" t="str">
        <f t="shared" ref="J54:J55" si="36">IF(I54=1,"借",IF(I54=2,"貸",""))</f>
        <v>借</v>
      </c>
      <c r="K54" s="119"/>
      <c r="L54" s="119"/>
      <c r="M54" s="54" t="str">
        <f t="shared" ref="M54:M55" si="37">IF(L54=1,"変",IF(L54=2,"固",""))</f>
        <v/>
      </c>
      <c r="N54" s="181">
        <v>1415</v>
      </c>
      <c r="O54" s="182"/>
      <c r="P54" s="183" t="str">
        <f t="shared" si="29"/>
        <v/>
      </c>
      <c r="Q54" s="183"/>
      <c r="R54" s="183" t="str">
        <f t="shared" ref="R54:R55" si="38">IF(AND($I54=1,$L54=2),N54,IF(AND($I54=2,$L54=2),-N54,""))</f>
        <v/>
      </c>
      <c r="S54" s="183"/>
      <c r="T54" s="203">
        <v>20278</v>
      </c>
      <c r="U54" s="203"/>
      <c r="V54" s="183">
        <f t="shared" ref="V54:V55" si="39">IF(I54=1,T54-N54,IF(I54=2,N54-T54,""))</f>
        <v>18863</v>
      </c>
      <c r="W54" s="183"/>
      <c r="X54" s="199">
        <f t="shared" ref="X54:X56" si="40">IF(OR(T54="",T54=0),"",ROUND(V54/T54,2))</f>
        <v>0.93</v>
      </c>
      <c r="Y54" s="199"/>
      <c r="Z54" s="200" t="s">
        <v>9</v>
      </c>
      <c r="AA54" s="201"/>
      <c r="AB54" s="201"/>
      <c r="AC54" s="201"/>
      <c r="AD54" s="202"/>
    </row>
    <row r="55" spans="4:30" ht="14.25" thickBot="1" x14ac:dyDescent="0.2">
      <c r="D55" s="3">
        <v>33</v>
      </c>
      <c r="E55" s="204" t="s">
        <v>275</v>
      </c>
      <c r="F55" s="205"/>
      <c r="G55" s="205"/>
      <c r="H55" s="205"/>
      <c r="I55" s="119">
        <v>1</v>
      </c>
      <c r="J55" s="54" t="str">
        <f t="shared" si="36"/>
        <v>借</v>
      </c>
      <c r="K55" s="119"/>
      <c r="L55" s="119"/>
      <c r="M55" s="54" t="str">
        <f t="shared" si="37"/>
        <v/>
      </c>
      <c r="N55" s="181">
        <v>0</v>
      </c>
      <c r="O55" s="182"/>
      <c r="P55" s="183" t="str">
        <f t="shared" si="29"/>
        <v/>
      </c>
      <c r="Q55" s="183"/>
      <c r="R55" s="183" t="str">
        <f t="shared" si="38"/>
        <v/>
      </c>
      <c r="S55" s="183"/>
      <c r="T55" s="203">
        <v>0</v>
      </c>
      <c r="U55" s="203"/>
      <c r="V55" s="183">
        <f t="shared" si="39"/>
        <v>0</v>
      </c>
      <c r="W55" s="183"/>
      <c r="X55" s="199" t="str">
        <f t="shared" si="40"/>
        <v/>
      </c>
      <c r="Y55" s="199"/>
      <c r="Z55" s="200" t="s">
        <v>9</v>
      </c>
      <c r="AA55" s="201"/>
      <c r="AB55" s="201"/>
      <c r="AC55" s="201"/>
      <c r="AD55" s="202"/>
    </row>
    <row r="56" spans="4:30" ht="14.25" thickBot="1" x14ac:dyDescent="0.2">
      <c r="D56" s="3">
        <v>34</v>
      </c>
      <c r="E56" s="143" t="s">
        <v>276</v>
      </c>
      <c r="F56" s="184"/>
      <c r="G56" s="184"/>
      <c r="H56" s="206"/>
      <c r="I56" s="119">
        <v>1</v>
      </c>
      <c r="J56" s="54" t="str">
        <f>IF(I56=1,"借",IF(I56=2,"貸",""))</f>
        <v>借</v>
      </c>
      <c r="K56" s="119"/>
      <c r="L56" s="119"/>
      <c r="M56" s="54" t="str">
        <f>IF(L56=1,"変",IF(L56=2,"固",""))</f>
        <v/>
      </c>
      <c r="N56" s="207">
        <f>SUM(N54:O55)</f>
        <v>1415</v>
      </c>
      <c r="O56" s="208"/>
      <c r="P56" s="2"/>
      <c r="Q56" s="2"/>
      <c r="R56" s="2"/>
      <c r="S56" s="2"/>
      <c r="T56" s="207">
        <f>SUM(T54:U55)</f>
        <v>20278</v>
      </c>
      <c r="U56" s="208"/>
      <c r="V56" s="183">
        <f>IF(I56=1,T56-N56,IF(I56=2,N56-T56,""))</f>
        <v>18863</v>
      </c>
      <c r="W56" s="183"/>
      <c r="X56" s="199">
        <f t="shared" si="40"/>
        <v>0.93</v>
      </c>
      <c r="Y56" s="199"/>
      <c r="Z56" s="200" t="s">
        <v>9</v>
      </c>
      <c r="AA56" s="201"/>
      <c r="AB56" s="201"/>
      <c r="AC56" s="201"/>
      <c r="AD56" s="202"/>
    </row>
    <row r="57" spans="4:30" ht="14.25" thickBot="1" x14ac:dyDescent="0.2"/>
    <row r="58" spans="4:30" ht="14.25" thickBot="1" x14ac:dyDescent="0.2">
      <c r="D58" s="3">
        <v>35</v>
      </c>
      <c r="E58" s="143" t="s">
        <v>277</v>
      </c>
      <c r="F58" s="184"/>
      <c r="G58" s="184"/>
      <c r="H58" s="206"/>
      <c r="I58" s="119">
        <v>2</v>
      </c>
      <c r="J58" s="54" t="str">
        <f>IF(I58=1,"借",IF(I58=2,"貸",""))</f>
        <v>貸</v>
      </c>
      <c r="K58" s="119"/>
      <c r="L58" s="119"/>
      <c r="M58" s="54" t="str">
        <f>IF(L58=1,"変",IF(L58=2,"固",""))</f>
        <v/>
      </c>
      <c r="N58" s="209">
        <f>+N51-N56</f>
        <v>630</v>
      </c>
      <c r="O58" s="210"/>
      <c r="P58" s="2"/>
      <c r="Q58" s="2"/>
      <c r="R58" s="2"/>
      <c r="S58" s="2"/>
      <c r="T58" s="209">
        <f>+T51-T56</f>
        <v>30418</v>
      </c>
      <c r="U58" s="210"/>
      <c r="V58" s="183">
        <f>IF(I58=1,T58-N58,IF(I58=2,N58-T58,""))</f>
        <v>-29788</v>
      </c>
      <c r="W58" s="183"/>
      <c r="X58" s="199">
        <f t="shared" ref="X58" si="41">IF(OR(T58="",T58=0),"",ROUND(V58/T58,2))</f>
        <v>-0.98</v>
      </c>
      <c r="Y58" s="199"/>
      <c r="Z58" s="200" t="s">
        <v>9</v>
      </c>
      <c r="AA58" s="201"/>
      <c r="AB58" s="201"/>
      <c r="AC58" s="201"/>
      <c r="AD58" s="202"/>
    </row>
    <row r="59" spans="4:30" ht="14.25" thickBot="1" x14ac:dyDescent="0.2">
      <c r="D59" s="3">
        <v>36</v>
      </c>
      <c r="E59" s="143" t="s">
        <v>272</v>
      </c>
      <c r="F59" s="184"/>
      <c r="G59" s="184"/>
      <c r="H59" s="144"/>
      <c r="I59" s="2"/>
      <c r="J59" s="2"/>
      <c r="K59" s="2"/>
      <c r="L59" s="2"/>
      <c r="M59" s="2"/>
      <c r="N59" s="211">
        <f>IF(OR(N$11="",N$11=0),"",ROUND(N58/N$11,2))</f>
        <v>0.01</v>
      </c>
      <c r="O59" s="212"/>
      <c r="P59" s="2"/>
      <c r="Q59" s="2"/>
      <c r="R59" s="2"/>
      <c r="S59" s="2"/>
      <c r="T59" s="211">
        <f>IF(OR(T$11="",T$11=0),"",ROUND(T58/T$11,2))</f>
        <v>0.18</v>
      </c>
      <c r="U59" s="212"/>
      <c r="V59" s="2"/>
      <c r="W59" s="2"/>
      <c r="X59" s="211">
        <f>-T59+N59</f>
        <v>-0.16999999999999998</v>
      </c>
      <c r="Y59" s="212"/>
      <c r="Z59" s="200" t="s">
        <v>9</v>
      </c>
      <c r="AA59" s="201"/>
      <c r="AB59" s="201"/>
      <c r="AC59" s="201"/>
      <c r="AD59" s="202"/>
    </row>
    <row r="61" spans="4:30" x14ac:dyDescent="0.15">
      <c r="D61" s="117" t="s">
        <v>278</v>
      </c>
    </row>
    <row r="62" spans="4:30" ht="14.25" thickBot="1" x14ac:dyDescent="0.2">
      <c r="D62" s="117"/>
    </row>
    <row r="63" spans="4:30" ht="14.25" thickBot="1" x14ac:dyDescent="0.2">
      <c r="D63" s="3">
        <v>37</v>
      </c>
      <c r="E63" s="213" t="s">
        <v>230</v>
      </c>
      <c r="F63" s="214"/>
      <c r="G63" s="214"/>
      <c r="H63" s="215"/>
      <c r="I63" s="119">
        <v>1</v>
      </c>
      <c r="J63" s="54" t="str">
        <f t="shared" ref="J63" si="42">IF(I63=1,"借",IF(I63=2,"貸",""))</f>
        <v>借</v>
      </c>
      <c r="P63" s="198">
        <f>P$20+SUM(P$38:Q$44)</f>
        <v>61000</v>
      </c>
      <c r="Q63" s="198"/>
      <c r="T63" s="198">
        <v>78000</v>
      </c>
      <c r="U63" s="198"/>
      <c r="V63" s="183">
        <f>-P63+T63</f>
        <v>17000</v>
      </c>
      <c r="W63" s="183"/>
      <c r="X63" s="199">
        <f t="shared" ref="X63" si="43">IF(OR(T63="",T63=0),"",ROUND(V63/T63,2))</f>
        <v>0.22</v>
      </c>
      <c r="Y63" s="199"/>
    </row>
    <row r="64" spans="4:30" ht="14.25" thickBot="1" x14ac:dyDescent="0.2">
      <c r="D64" s="3">
        <v>38</v>
      </c>
      <c r="E64" s="213" t="s">
        <v>279</v>
      </c>
      <c r="F64" s="214"/>
      <c r="G64" s="214"/>
      <c r="H64" s="215"/>
      <c r="I64" s="2"/>
      <c r="J64" s="2"/>
      <c r="K64" s="2"/>
      <c r="L64" s="2"/>
      <c r="M64" s="2"/>
      <c r="P64" s="216">
        <f>IF(OR($N$11="",$N$11=0),"",ROUND(P63/$N$11,2))</f>
        <v>0.61</v>
      </c>
      <c r="Q64" s="217"/>
      <c r="T64" s="216">
        <f>IF(OR(T$11="",T$11=0),"",ROUND(T63/T$11,2))</f>
        <v>0.47</v>
      </c>
      <c r="U64" s="217"/>
      <c r="V64" s="2"/>
      <c r="W64" s="2"/>
      <c r="X64" s="211">
        <f>T64-P64</f>
        <v>-0.14000000000000001</v>
      </c>
      <c r="Y64" s="212"/>
    </row>
    <row r="65" spans="4:30" ht="14.25" thickBot="1" x14ac:dyDescent="0.2">
      <c r="D65" s="3">
        <v>39</v>
      </c>
      <c r="E65" s="213" t="s">
        <v>280</v>
      </c>
      <c r="F65" s="214"/>
      <c r="G65" s="214"/>
      <c r="H65" s="215"/>
      <c r="P65" s="216">
        <f>1-P64</f>
        <v>0.39</v>
      </c>
      <c r="Q65" s="217"/>
      <c r="T65" s="216">
        <f>1-T64</f>
        <v>0.53</v>
      </c>
      <c r="U65" s="217"/>
      <c r="X65" s="211">
        <f>-T65+P65</f>
        <v>-0.14000000000000001</v>
      </c>
      <c r="Y65" s="212"/>
    </row>
    <row r="66" spans="4:30" ht="14.25" thickBot="1" x14ac:dyDescent="0.2"/>
    <row r="67" spans="4:30" ht="14.25" thickBot="1" x14ac:dyDescent="0.2">
      <c r="D67" s="3">
        <v>40</v>
      </c>
      <c r="E67" s="213" t="s">
        <v>231</v>
      </c>
      <c r="F67" s="214"/>
      <c r="G67" s="214"/>
      <c r="H67" s="215"/>
      <c r="I67" s="119">
        <v>1</v>
      </c>
      <c r="J67" s="54" t="str">
        <f t="shared" ref="J67" si="44">IF(I67=1,"借",IF(I67=2,"貸",""))</f>
        <v>借</v>
      </c>
      <c r="R67" s="231">
        <f>R$20+SUM(R$38:S$44)</f>
        <v>36955</v>
      </c>
      <c r="S67" s="232"/>
      <c r="T67" s="231">
        <v>36304</v>
      </c>
      <c r="U67" s="232"/>
      <c r="V67" s="233">
        <f>-R67+T67</f>
        <v>-651</v>
      </c>
      <c r="W67" s="183"/>
      <c r="X67" s="199">
        <f t="shared" ref="X67" si="45">IF(OR(T67="",T67=0),"",ROUND(V67/T67,2))</f>
        <v>-0.02</v>
      </c>
      <c r="Y67" s="199"/>
    </row>
    <row r="69" spans="4:30" ht="14.25" thickBot="1" x14ac:dyDescent="0.2"/>
    <row r="70" spans="4:30" ht="14.25" thickBot="1" x14ac:dyDescent="0.2">
      <c r="E70" s="213" t="s">
        <v>281</v>
      </c>
      <c r="F70" s="214"/>
      <c r="G70" s="214"/>
      <c r="H70" s="215"/>
      <c r="J70" s="213" t="s">
        <v>282</v>
      </c>
      <c r="K70" s="214"/>
      <c r="L70" s="214"/>
      <c r="M70" s="214"/>
      <c r="N70" s="214"/>
      <c r="O70" s="215"/>
      <c r="Q70" s="213" t="s">
        <v>283</v>
      </c>
      <c r="R70" s="214"/>
      <c r="S70" s="214"/>
      <c r="T70" s="214"/>
      <c r="U70" s="215"/>
      <c r="W70" s="213" t="s">
        <v>284</v>
      </c>
      <c r="X70" s="214"/>
      <c r="Y70" s="214"/>
      <c r="Z70" s="214"/>
      <c r="AA70" s="214"/>
      <c r="AB70" s="214"/>
      <c r="AC70" s="214"/>
      <c r="AD70" s="215"/>
    </row>
    <row r="71" spans="4:30" ht="24.75" thickBot="1" x14ac:dyDescent="0.2">
      <c r="E71" s="179" t="s">
        <v>87</v>
      </c>
      <c r="F71" s="180"/>
      <c r="G71" s="180"/>
      <c r="H71" s="195"/>
      <c r="J71" s="218">
        <f>+N13</f>
        <v>100</v>
      </c>
      <c r="K71" s="219"/>
      <c r="L71" s="219"/>
      <c r="M71" s="219"/>
      <c r="N71" s="220"/>
      <c r="O71" s="120" t="s">
        <v>285</v>
      </c>
      <c r="P71" s="15" t="s">
        <v>286</v>
      </c>
      <c r="Q71" s="221">
        <v>90</v>
      </c>
      <c r="R71" s="222"/>
      <c r="S71" s="222"/>
      <c r="T71" s="223"/>
      <c r="U71" s="120" t="s">
        <v>285</v>
      </c>
      <c r="W71" s="204" t="s">
        <v>287</v>
      </c>
      <c r="X71" s="205"/>
      <c r="Y71" s="205"/>
      <c r="Z71" s="205"/>
      <c r="AA71" s="205"/>
      <c r="AB71" s="205"/>
      <c r="AC71" s="205"/>
      <c r="AD71" s="224"/>
    </row>
    <row r="72" spans="4:30" ht="14.25" thickBot="1" x14ac:dyDescent="0.2">
      <c r="E72" s="213" t="s">
        <v>279</v>
      </c>
      <c r="F72" s="214"/>
      <c r="G72" s="214"/>
      <c r="H72" s="215"/>
      <c r="J72" s="225">
        <f>+P64</f>
        <v>0.61</v>
      </c>
      <c r="K72" s="226"/>
      <c r="L72" s="226"/>
      <c r="M72" s="226"/>
      <c r="N72" s="227"/>
      <c r="Q72" s="228">
        <v>0.51</v>
      </c>
      <c r="R72" s="229"/>
      <c r="S72" s="229"/>
      <c r="T72" s="230"/>
      <c r="W72" s="204" t="s">
        <v>288</v>
      </c>
      <c r="X72" s="205"/>
      <c r="Y72" s="205"/>
      <c r="Z72" s="205"/>
      <c r="AA72" s="205"/>
      <c r="AB72" s="205"/>
      <c r="AC72" s="205"/>
      <c r="AD72" s="224"/>
    </row>
    <row r="73" spans="4:30" ht="24.75" thickBot="1" x14ac:dyDescent="0.2">
      <c r="E73" s="234" t="s">
        <v>280</v>
      </c>
      <c r="F73" s="235"/>
      <c r="G73" s="235"/>
      <c r="H73" s="236"/>
      <c r="J73" s="225">
        <f>1-J72</f>
        <v>0.39</v>
      </c>
      <c r="K73" s="226"/>
      <c r="L73" s="226"/>
      <c r="M73" s="226"/>
      <c r="N73" s="227"/>
      <c r="P73" s="15" t="s">
        <v>27</v>
      </c>
      <c r="Q73" s="245">
        <f>1-Q72</f>
        <v>0.49</v>
      </c>
      <c r="R73" s="246"/>
      <c r="S73" s="246"/>
      <c r="T73" s="247"/>
      <c r="W73" s="204" t="s">
        <v>289</v>
      </c>
      <c r="X73" s="205"/>
      <c r="Y73" s="205"/>
      <c r="Z73" s="205"/>
      <c r="AA73" s="205"/>
      <c r="AB73" s="205"/>
      <c r="AC73" s="205"/>
      <c r="AD73" s="224"/>
    </row>
    <row r="74" spans="4:30" ht="24.75" thickBot="1" x14ac:dyDescent="0.2">
      <c r="E74" s="234" t="s">
        <v>231</v>
      </c>
      <c r="F74" s="235"/>
      <c r="G74" s="235"/>
      <c r="H74" s="236"/>
      <c r="J74" s="218">
        <f>+R67</f>
        <v>36955</v>
      </c>
      <c r="K74" s="219"/>
      <c r="L74" s="219"/>
      <c r="M74" s="219"/>
      <c r="N74" s="220"/>
      <c r="O74" s="120" t="s">
        <v>285</v>
      </c>
      <c r="P74" s="15" t="s">
        <v>52</v>
      </c>
      <c r="Q74" s="237">
        <v>29755</v>
      </c>
      <c r="R74" s="238"/>
      <c r="S74" s="238"/>
      <c r="T74" s="239"/>
      <c r="U74" s="120" t="s">
        <v>285</v>
      </c>
      <c r="W74" s="204" t="s">
        <v>290</v>
      </c>
      <c r="X74" s="205"/>
      <c r="Y74" s="205"/>
      <c r="Z74" s="205"/>
      <c r="AA74" s="205"/>
      <c r="AB74" s="205"/>
      <c r="AC74" s="205"/>
      <c r="AD74" s="224"/>
    </row>
    <row r="76" spans="4:30" ht="14.25" thickBot="1" x14ac:dyDescent="0.2"/>
    <row r="77" spans="4:30" ht="24.75" thickBot="1" x14ac:dyDescent="0.2">
      <c r="E77" s="234" t="s">
        <v>291</v>
      </c>
      <c r="F77" s="235"/>
      <c r="G77" s="235"/>
      <c r="H77" s="236"/>
      <c r="P77" s="15" t="s">
        <v>26</v>
      </c>
      <c r="Q77" s="237">
        <v>25578</v>
      </c>
      <c r="R77" s="238"/>
      <c r="S77" s="238"/>
      <c r="T77" s="239"/>
      <c r="U77" s="120" t="s">
        <v>285</v>
      </c>
      <c r="W77" s="204" t="s">
        <v>292</v>
      </c>
      <c r="X77" s="205"/>
      <c r="Y77" s="205"/>
      <c r="Z77" s="205"/>
      <c r="AA77" s="205"/>
      <c r="AB77" s="205"/>
      <c r="AC77" s="205"/>
      <c r="AD77" s="224"/>
    </row>
    <row r="79" spans="4:30" ht="14.25" thickBot="1" x14ac:dyDescent="0.2"/>
    <row r="80" spans="4:30" ht="24.75" thickBot="1" x14ac:dyDescent="0.2">
      <c r="E80" s="240" t="s">
        <v>293</v>
      </c>
      <c r="F80" s="241"/>
      <c r="G80" s="241"/>
      <c r="H80" s="242"/>
      <c r="I80" s="243" t="s">
        <v>294</v>
      </c>
      <c r="J80" s="145"/>
      <c r="K80" s="121" t="s">
        <v>295</v>
      </c>
    </row>
    <row r="81" spans="5:29" ht="14.25" thickBot="1" x14ac:dyDescent="0.2"/>
    <row r="82" spans="5:29" ht="24.75" thickBot="1" x14ac:dyDescent="0.2">
      <c r="H82" s="122"/>
      <c r="I82" s="244" t="s">
        <v>294</v>
      </c>
      <c r="J82" s="145"/>
      <c r="K82" s="237">
        <f>ROUND((Q74+Q77)/Q73,2)</f>
        <v>112924.49</v>
      </c>
      <c r="L82" s="238"/>
      <c r="M82" s="238"/>
      <c r="N82" s="239"/>
      <c r="O82" t="s">
        <v>285</v>
      </c>
      <c r="P82" s="15" t="s">
        <v>53</v>
      </c>
    </row>
    <row r="84" spans="5:29" ht="14.25" thickBot="1" x14ac:dyDescent="0.2"/>
    <row r="85" spans="5:29" ht="24.75" thickBot="1" x14ac:dyDescent="0.2">
      <c r="E85" s="234" t="s">
        <v>296</v>
      </c>
      <c r="F85" s="235"/>
      <c r="G85" s="235"/>
      <c r="H85" s="236"/>
      <c r="I85" s="244" t="s">
        <v>294</v>
      </c>
      <c r="J85" s="145"/>
      <c r="K85" s="123" t="s">
        <v>53</v>
      </c>
      <c r="L85" s="253">
        <f>+K82</f>
        <v>112924.49</v>
      </c>
      <c r="M85" s="254"/>
      <c r="N85" s="254"/>
      <c r="O85" s="255"/>
      <c r="P85" s="124" t="s">
        <v>285</v>
      </c>
      <c r="Q85" s="121" t="s">
        <v>297</v>
      </c>
      <c r="V85" s="251">
        <f>+Q71</f>
        <v>90</v>
      </c>
      <c r="W85" s="252"/>
      <c r="X85" s="124" t="s">
        <v>285</v>
      </c>
    </row>
    <row r="86" spans="5:29" ht="14.25" thickBot="1" x14ac:dyDescent="0.2"/>
    <row r="87" spans="5:29" ht="29.25" thickBot="1" x14ac:dyDescent="0.2">
      <c r="I87" s="244" t="s">
        <v>294</v>
      </c>
      <c r="J87" s="145"/>
      <c r="K87" s="237">
        <f>ROUND(L85/V85,0)</f>
        <v>1255</v>
      </c>
      <c r="L87" s="238"/>
      <c r="M87" s="238"/>
      <c r="N87" s="239"/>
      <c r="O87" t="s">
        <v>76</v>
      </c>
      <c r="P87" s="121" t="s">
        <v>298</v>
      </c>
      <c r="U87" s="248">
        <f>ROUNDUP(K87,-1)</f>
        <v>1260</v>
      </c>
      <c r="V87" s="249"/>
      <c r="W87" s="249"/>
      <c r="X87" s="250"/>
      <c r="Y87" t="s">
        <v>76</v>
      </c>
      <c r="Z87" s="145" t="s">
        <v>55</v>
      </c>
      <c r="AA87" s="145"/>
      <c r="AB87" s="145"/>
      <c r="AC87" s="145"/>
    </row>
    <row r="89" spans="5:29" ht="14.25" thickBot="1" x14ac:dyDescent="0.2"/>
    <row r="90" spans="5:29" ht="24.75" thickBot="1" x14ac:dyDescent="0.2">
      <c r="E90" s="240" t="s">
        <v>299</v>
      </c>
      <c r="F90" s="241"/>
      <c r="G90" s="241"/>
      <c r="H90" s="242"/>
      <c r="I90" s="244" t="s">
        <v>294</v>
      </c>
      <c r="J90" s="145"/>
      <c r="K90" s="121" t="s">
        <v>300</v>
      </c>
      <c r="Q90" s="251">
        <f>+V85</f>
        <v>90</v>
      </c>
      <c r="R90" s="252"/>
      <c r="S90" s="124" t="s">
        <v>285</v>
      </c>
      <c r="T90" s="125" t="s">
        <v>301</v>
      </c>
      <c r="U90" s="237">
        <f>+U87</f>
        <v>1260</v>
      </c>
      <c r="V90" s="238"/>
      <c r="W90" s="238"/>
      <c r="X90" s="239"/>
      <c r="Y90" t="s">
        <v>76</v>
      </c>
      <c r="Z90" s="145" t="s">
        <v>55</v>
      </c>
      <c r="AA90" s="145"/>
      <c r="AB90" s="145"/>
      <c r="AC90" s="145"/>
    </row>
    <row r="92" spans="5:29" ht="14.25" thickBot="1" x14ac:dyDescent="0.2"/>
    <row r="93" spans="5:29" ht="29.25" thickBot="1" x14ac:dyDescent="0.2">
      <c r="I93" s="244" t="s">
        <v>294</v>
      </c>
      <c r="J93" s="145"/>
      <c r="K93" s="248">
        <f>ROUND(Q90*U90,0)</f>
        <v>113400</v>
      </c>
      <c r="L93" s="249"/>
      <c r="M93" s="249"/>
      <c r="N93" s="250"/>
      <c r="O93" t="s">
        <v>285</v>
      </c>
      <c r="P93" s="15" t="s">
        <v>53</v>
      </c>
    </row>
  </sheetData>
  <mergeCells count="363">
    <mergeCell ref="I93:J93"/>
    <mergeCell ref="K93:N93"/>
    <mergeCell ref="Z87:AC87"/>
    <mergeCell ref="E90:H90"/>
    <mergeCell ref="I90:J90"/>
    <mergeCell ref="Q90:R90"/>
    <mergeCell ref="U90:X90"/>
    <mergeCell ref="Z90:AC90"/>
    <mergeCell ref="E85:H85"/>
    <mergeCell ref="I85:J85"/>
    <mergeCell ref="L85:O85"/>
    <mergeCell ref="V85:W85"/>
    <mergeCell ref="I87:J87"/>
    <mergeCell ref="K87:N87"/>
    <mergeCell ref="U87:X87"/>
    <mergeCell ref="E77:H77"/>
    <mergeCell ref="Q77:T77"/>
    <mergeCell ref="W77:AD77"/>
    <mergeCell ref="E80:H80"/>
    <mergeCell ref="I80:J80"/>
    <mergeCell ref="I82:J82"/>
    <mergeCell ref="K82:N82"/>
    <mergeCell ref="E73:H73"/>
    <mergeCell ref="J73:N73"/>
    <mergeCell ref="Q73:T73"/>
    <mergeCell ref="W73:AD73"/>
    <mergeCell ref="E74:H74"/>
    <mergeCell ref="J74:N74"/>
    <mergeCell ref="Q74:T74"/>
    <mergeCell ref="W74:AD74"/>
    <mergeCell ref="E71:H71"/>
    <mergeCell ref="J71:N71"/>
    <mergeCell ref="Q71:T71"/>
    <mergeCell ref="W71:AD71"/>
    <mergeCell ref="E72:H72"/>
    <mergeCell ref="J72:N72"/>
    <mergeCell ref="Q72:T72"/>
    <mergeCell ref="W72:AD72"/>
    <mergeCell ref="E67:H67"/>
    <mergeCell ref="R67:S67"/>
    <mergeCell ref="T67:U67"/>
    <mergeCell ref="V67:W67"/>
    <mergeCell ref="X67:Y67"/>
    <mergeCell ref="E70:H70"/>
    <mergeCell ref="J70:O70"/>
    <mergeCell ref="Q70:U70"/>
    <mergeCell ref="W70:AD70"/>
    <mergeCell ref="E64:H64"/>
    <mergeCell ref="P64:Q64"/>
    <mergeCell ref="T64:U64"/>
    <mergeCell ref="X64:Y64"/>
    <mergeCell ref="E65:H65"/>
    <mergeCell ref="P65:Q65"/>
    <mergeCell ref="T65:U65"/>
    <mergeCell ref="X65:Y65"/>
    <mergeCell ref="E59:H59"/>
    <mergeCell ref="N59:O59"/>
    <mergeCell ref="T59:U59"/>
    <mergeCell ref="X59:Y59"/>
    <mergeCell ref="Z59:AD59"/>
    <mergeCell ref="E63:H63"/>
    <mergeCell ref="P63:Q63"/>
    <mergeCell ref="T63:U63"/>
    <mergeCell ref="V63:W63"/>
    <mergeCell ref="X63:Y63"/>
    <mergeCell ref="E58:H58"/>
    <mergeCell ref="N58:O58"/>
    <mergeCell ref="T58:U58"/>
    <mergeCell ref="V58:W58"/>
    <mergeCell ref="X58:Y58"/>
    <mergeCell ref="Z58:AD58"/>
    <mergeCell ref="Z55:AD55"/>
    <mergeCell ref="E56:H56"/>
    <mergeCell ref="N56:O56"/>
    <mergeCell ref="T56:U56"/>
    <mergeCell ref="V56:W56"/>
    <mergeCell ref="X56:Y56"/>
    <mergeCell ref="Z56:AD56"/>
    <mergeCell ref="V54:W54"/>
    <mergeCell ref="X54:Y54"/>
    <mergeCell ref="Z54:AD54"/>
    <mergeCell ref="E55:H55"/>
    <mergeCell ref="N55:O55"/>
    <mergeCell ref="P55:Q55"/>
    <mergeCell ref="R55:S55"/>
    <mergeCell ref="T55:U55"/>
    <mergeCell ref="V55:W55"/>
    <mergeCell ref="X55:Y55"/>
    <mergeCell ref="E52:H52"/>
    <mergeCell ref="N52:O52"/>
    <mergeCell ref="T52:U52"/>
    <mergeCell ref="X52:Y52"/>
    <mergeCell ref="Z52:AD52"/>
    <mergeCell ref="E54:H54"/>
    <mergeCell ref="N54:O54"/>
    <mergeCell ref="P54:Q54"/>
    <mergeCell ref="R54:S54"/>
    <mergeCell ref="T54:U54"/>
    <mergeCell ref="Z50:AD50"/>
    <mergeCell ref="E51:H51"/>
    <mergeCell ref="N51:O51"/>
    <mergeCell ref="T51:U51"/>
    <mergeCell ref="V51:W51"/>
    <mergeCell ref="X51:Y51"/>
    <mergeCell ref="Z51:AD51"/>
    <mergeCell ref="V48:W48"/>
    <mergeCell ref="X48:Y48"/>
    <mergeCell ref="Z48:AD48"/>
    <mergeCell ref="E50:H50"/>
    <mergeCell ref="N50:O50"/>
    <mergeCell ref="P50:Q50"/>
    <mergeCell ref="R50:S50"/>
    <mergeCell ref="T50:U50"/>
    <mergeCell ref="V50:W50"/>
    <mergeCell ref="X50:Y50"/>
    <mergeCell ref="E46:H46"/>
    <mergeCell ref="N46:O46"/>
    <mergeCell ref="T46:U46"/>
    <mergeCell ref="X46:Y46"/>
    <mergeCell ref="Z46:AD46"/>
    <mergeCell ref="E48:H48"/>
    <mergeCell ref="N48:O48"/>
    <mergeCell ref="P48:Q48"/>
    <mergeCell ref="R48:S48"/>
    <mergeCell ref="T48:U48"/>
    <mergeCell ref="Z44:AD44"/>
    <mergeCell ref="E45:H45"/>
    <mergeCell ref="N45:O45"/>
    <mergeCell ref="T45:U45"/>
    <mergeCell ref="V45:W45"/>
    <mergeCell ref="X45:Y45"/>
    <mergeCell ref="Z45:AD45"/>
    <mergeCell ref="V42:W42"/>
    <mergeCell ref="X42:Y42"/>
    <mergeCell ref="Z42:AD42"/>
    <mergeCell ref="E44:H44"/>
    <mergeCell ref="N44:O44"/>
    <mergeCell ref="P44:Q44"/>
    <mergeCell ref="R44:S44"/>
    <mergeCell ref="T44:U44"/>
    <mergeCell ref="V44:W44"/>
    <mergeCell ref="X44:Y44"/>
    <mergeCell ref="E40:H40"/>
    <mergeCell ref="N40:O40"/>
    <mergeCell ref="T40:U40"/>
    <mergeCell ref="X40:Y40"/>
    <mergeCell ref="Z40:AD40"/>
    <mergeCell ref="E42:H42"/>
    <mergeCell ref="N42:O42"/>
    <mergeCell ref="P42:Q42"/>
    <mergeCell ref="R42:S42"/>
    <mergeCell ref="T42:U42"/>
    <mergeCell ref="E39:H39"/>
    <mergeCell ref="N39:O39"/>
    <mergeCell ref="T39:U39"/>
    <mergeCell ref="V39:W39"/>
    <mergeCell ref="X39:Y39"/>
    <mergeCell ref="Z39:AD39"/>
    <mergeCell ref="X37:Y37"/>
    <mergeCell ref="Z37:AD37"/>
    <mergeCell ref="E38:H38"/>
    <mergeCell ref="N38:O38"/>
    <mergeCell ref="P38:Q38"/>
    <mergeCell ref="R38:S38"/>
    <mergeCell ref="T38:U38"/>
    <mergeCell ref="V38:W38"/>
    <mergeCell ref="X38:Y38"/>
    <mergeCell ref="Z38:AD38"/>
    <mergeCell ref="E37:H37"/>
    <mergeCell ref="N37:O37"/>
    <mergeCell ref="P37:Q37"/>
    <mergeCell ref="R37:S37"/>
    <mergeCell ref="T37:U37"/>
    <mergeCell ref="V37:W37"/>
    <mergeCell ref="X35:Y35"/>
    <mergeCell ref="Z35:AD35"/>
    <mergeCell ref="E36:H36"/>
    <mergeCell ref="N36:O36"/>
    <mergeCell ref="P36:Q36"/>
    <mergeCell ref="R36:S36"/>
    <mergeCell ref="T36:U36"/>
    <mergeCell ref="V36:W36"/>
    <mergeCell ref="X36:Y36"/>
    <mergeCell ref="Z36:AD36"/>
    <mergeCell ref="E35:H35"/>
    <mergeCell ref="N35:O35"/>
    <mergeCell ref="P35:Q35"/>
    <mergeCell ref="R35:S35"/>
    <mergeCell ref="T35:U35"/>
    <mergeCell ref="V35:W35"/>
    <mergeCell ref="X33:Y33"/>
    <mergeCell ref="Z33:AD33"/>
    <mergeCell ref="E34:H34"/>
    <mergeCell ref="N34:O34"/>
    <mergeCell ref="P34:Q34"/>
    <mergeCell ref="R34:S34"/>
    <mergeCell ref="T34:U34"/>
    <mergeCell ref="V34:W34"/>
    <mergeCell ref="X34:Y34"/>
    <mergeCell ref="Z34:AD34"/>
    <mergeCell ref="E33:H33"/>
    <mergeCell ref="N33:O33"/>
    <mergeCell ref="P33:Q33"/>
    <mergeCell ref="R33:S33"/>
    <mergeCell ref="T33:U33"/>
    <mergeCell ref="V33:W33"/>
    <mergeCell ref="X31:Y31"/>
    <mergeCell ref="Z31:AD31"/>
    <mergeCell ref="E32:H32"/>
    <mergeCell ref="N32:O32"/>
    <mergeCell ref="P32:Q32"/>
    <mergeCell ref="R32:S32"/>
    <mergeCell ref="T32:U32"/>
    <mergeCell ref="V32:W32"/>
    <mergeCell ref="X32:Y32"/>
    <mergeCell ref="Z32:AD32"/>
    <mergeCell ref="E31:H31"/>
    <mergeCell ref="N31:O31"/>
    <mergeCell ref="P31:Q31"/>
    <mergeCell ref="R31:S31"/>
    <mergeCell ref="T31:U31"/>
    <mergeCell ref="V31:W31"/>
    <mergeCell ref="X29:Y29"/>
    <mergeCell ref="Z29:AD29"/>
    <mergeCell ref="E30:H30"/>
    <mergeCell ref="N30:O30"/>
    <mergeCell ref="P30:Q30"/>
    <mergeCell ref="R30:S30"/>
    <mergeCell ref="T30:U30"/>
    <mergeCell ref="V30:W30"/>
    <mergeCell ref="X30:Y30"/>
    <mergeCell ref="Z30:AD30"/>
    <mergeCell ref="E29:H29"/>
    <mergeCell ref="N29:O29"/>
    <mergeCell ref="P29:Q29"/>
    <mergeCell ref="R29:S29"/>
    <mergeCell ref="T29:U29"/>
    <mergeCell ref="V29:W29"/>
    <mergeCell ref="X27:Y27"/>
    <mergeCell ref="Z27:AD27"/>
    <mergeCell ref="E28:H28"/>
    <mergeCell ref="N28:O28"/>
    <mergeCell ref="P28:Q28"/>
    <mergeCell ref="R28:S28"/>
    <mergeCell ref="T28:U28"/>
    <mergeCell ref="V28:W28"/>
    <mergeCell ref="X28:Y28"/>
    <mergeCell ref="Z28:AD28"/>
    <mergeCell ref="E27:H27"/>
    <mergeCell ref="N27:O27"/>
    <mergeCell ref="P27:Q27"/>
    <mergeCell ref="R27:S27"/>
    <mergeCell ref="T27:U27"/>
    <mergeCell ref="V27:W27"/>
    <mergeCell ref="E25:H25"/>
    <mergeCell ref="N25:O25"/>
    <mergeCell ref="P25:Q25"/>
    <mergeCell ref="R25:S25"/>
    <mergeCell ref="T25:U25"/>
    <mergeCell ref="V25:W25"/>
    <mergeCell ref="X25:Y25"/>
    <mergeCell ref="Z25:AD25"/>
    <mergeCell ref="E26:H26"/>
    <mergeCell ref="N26:O26"/>
    <mergeCell ref="P26:Q26"/>
    <mergeCell ref="R26:S26"/>
    <mergeCell ref="T26:U26"/>
    <mergeCell ref="V26:W26"/>
    <mergeCell ref="X26:Y26"/>
    <mergeCell ref="Z26:AD26"/>
    <mergeCell ref="E22:H22"/>
    <mergeCell ref="N22:O22"/>
    <mergeCell ref="T22:U22"/>
    <mergeCell ref="X22:Y22"/>
    <mergeCell ref="Z22:AD22"/>
    <mergeCell ref="E24:H24"/>
    <mergeCell ref="N24:O24"/>
    <mergeCell ref="P24:Q24"/>
    <mergeCell ref="R24:S24"/>
    <mergeCell ref="T24:U24"/>
    <mergeCell ref="V24:W24"/>
    <mergeCell ref="X24:Y24"/>
    <mergeCell ref="Z24:AD24"/>
    <mergeCell ref="X20:Y20"/>
    <mergeCell ref="Z20:AD20"/>
    <mergeCell ref="E21:H21"/>
    <mergeCell ref="N21:O21"/>
    <mergeCell ref="T21:U21"/>
    <mergeCell ref="V21:W21"/>
    <mergeCell ref="X21:Y21"/>
    <mergeCell ref="Z21:AD21"/>
    <mergeCell ref="E20:H20"/>
    <mergeCell ref="N20:O20"/>
    <mergeCell ref="P20:Q20"/>
    <mergeCell ref="R20:S20"/>
    <mergeCell ref="T20:U20"/>
    <mergeCell ref="V20:W20"/>
    <mergeCell ref="X18:Y18"/>
    <mergeCell ref="Z18:AD18"/>
    <mergeCell ref="E19:H19"/>
    <mergeCell ref="N19:O19"/>
    <mergeCell ref="P19:Q19"/>
    <mergeCell ref="R19:S19"/>
    <mergeCell ref="T19:U19"/>
    <mergeCell ref="V19:W19"/>
    <mergeCell ref="X19:Y19"/>
    <mergeCell ref="Z19:AD19"/>
    <mergeCell ref="E18:H18"/>
    <mergeCell ref="N18:O18"/>
    <mergeCell ref="P18:Q18"/>
    <mergeCell ref="R18:S18"/>
    <mergeCell ref="T18:U18"/>
    <mergeCell ref="V18:W18"/>
    <mergeCell ref="X16:Y16"/>
    <mergeCell ref="Z16:AD16"/>
    <mergeCell ref="E17:H17"/>
    <mergeCell ref="N17:O17"/>
    <mergeCell ref="P17:Q17"/>
    <mergeCell ref="R17:S17"/>
    <mergeCell ref="T17:U17"/>
    <mergeCell ref="V17:W17"/>
    <mergeCell ref="X17:Y17"/>
    <mergeCell ref="Z17:AD17"/>
    <mergeCell ref="E16:H16"/>
    <mergeCell ref="N16:O16"/>
    <mergeCell ref="P16:Q16"/>
    <mergeCell ref="R16:S16"/>
    <mergeCell ref="T16:U16"/>
    <mergeCell ref="V16:W16"/>
    <mergeCell ref="E14:H14"/>
    <mergeCell ref="N14:O14"/>
    <mergeCell ref="T14:U14"/>
    <mergeCell ref="V14:W14"/>
    <mergeCell ref="X14:Y14"/>
    <mergeCell ref="Z14:AD14"/>
    <mergeCell ref="T11:U11"/>
    <mergeCell ref="V11:W11"/>
    <mergeCell ref="X11:Y11"/>
    <mergeCell ref="Z11:AD11"/>
    <mergeCell ref="E13:H13"/>
    <mergeCell ref="N13:O13"/>
    <mergeCell ref="T13:U13"/>
    <mergeCell ref="V13:W13"/>
    <mergeCell ref="X13:Y13"/>
    <mergeCell ref="Z13:AD13"/>
    <mergeCell ref="N8:O9"/>
    <mergeCell ref="P8:S8"/>
    <mergeCell ref="P9:Q9"/>
    <mergeCell ref="R9:S9"/>
    <mergeCell ref="E11:H11"/>
    <mergeCell ref="N11:O11"/>
    <mergeCell ref="P11:Q11"/>
    <mergeCell ref="R11:S11"/>
    <mergeCell ref="D2:AD2"/>
    <mergeCell ref="D4:AD4"/>
    <mergeCell ref="E7:H7"/>
    <mergeCell ref="I7:J7"/>
    <mergeCell ref="L7:M7"/>
    <mergeCell ref="N7:S7"/>
    <mergeCell ref="T7:U9"/>
    <mergeCell ref="V7:W9"/>
    <mergeCell ref="X7:Y9"/>
    <mergeCell ref="Z7:AD9"/>
  </mergeCells>
  <phoneticPr fontId="2"/>
  <printOptions horizontalCentered="1"/>
  <pageMargins left="0.31496062992125984" right="0.19685039370078741" top="0.22" bottom="0.31496062992125984" header="0.2" footer="0.31496062992125984"/>
  <pageSetup paperSize="9" scale="6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B53"/>
  <sheetViews>
    <sheetView topLeftCell="I21" workbookViewId="0">
      <selection activeCell="L49" sqref="L49"/>
    </sheetView>
  </sheetViews>
  <sheetFormatPr defaultRowHeight="13.5" x14ac:dyDescent="0.15"/>
  <cols>
    <col min="3" max="3" width="2.75" customWidth="1"/>
    <col min="4" max="4" width="19.125" customWidth="1"/>
    <col min="5" max="6" width="4.875" customWidth="1"/>
    <col min="7" max="8" width="3.5" customWidth="1"/>
    <col min="9" max="28" width="9.625" customWidth="1"/>
  </cols>
  <sheetData>
    <row r="2" spans="3:28" ht="24" x14ac:dyDescent="0.15">
      <c r="C2" s="145" t="s">
        <v>97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</row>
    <row r="3" spans="3:28" ht="2.4500000000000002" customHeight="1" thickBot="1" x14ac:dyDescent="0.2"/>
    <row r="4" spans="3:28" ht="27.75" thickBot="1" x14ac:dyDescent="0.2">
      <c r="D4" s="1" t="s">
        <v>0</v>
      </c>
      <c r="E4" s="146" t="s">
        <v>1</v>
      </c>
      <c r="F4" s="147"/>
      <c r="G4" s="147"/>
      <c r="H4" s="148"/>
      <c r="I4" s="149"/>
      <c r="J4" s="2"/>
      <c r="K4" s="2"/>
      <c r="W4" s="143" t="s">
        <v>2</v>
      </c>
      <c r="X4" s="144"/>
      <c r="Y4" s="16" t="s">
        <v>72</v>
      </c>
      <c r="Z4" s="16" t="s">
        <v>73</v>
      </c>
      <c r="AA4" s="16" t="s">
        <v>74</v>
      </c>
    </row>
    <row r="5" spans="3:28" ht="18" thickBot="1" x14ac:dyDescent="0.2">
      <c r="D5" s="1" t="s">
        <v>3</v>
      </c>
      <c r="E5" s="146" t="s">
        <v>4</v>
      </c>
      <c r="F5" s="147"/>
      <c r="G5" s="147"/>
      <c r="H5" s="148"/>
      <c r="I5" s="149"/>
      <c r="J5" s="2"/>
      <c r="K5" s="2"/>
      <c r="W5" s="143" t="s">
        <v>5</v>
      </c>
      <c r="X5" s="144"/>
      <c r="Y5" s="3" t="s">
        <v>6</v>
      </c>
      <c r="Z5" s="3" t="s">
        <v>7</v>
      </c>
      <c r="AA5" s="3" t="s">
        <v>0</v>
      </c>
    </row>
    <row r="6" spans="3:28" ht="14.25" thickBot="1" x14ac:dyDescent="0.2">
      <c r="D6" s="4" t="s">
        <v>34</v>
      </c>
      <c r="E6" s="142" t="s">
        <v>35</v>
      </c>
      <c r="F6" s="142"/>
      <c r="G6" s="142"/>
      <c r="H6" s="142"/>
      <c r="I6" s="142"/>
      <c r="J6" s="2"/>
      <c r="K6" s="2" t="s">
        <v>314</v>
      </c>
      <c r="W6" s="143" t="s">
        <v>8</v>
      </c>
      <c r="X6" s="144"/>
      <c r="Y6" s="3" t="s">
        <v>9</v>
      </c>
      <c r="Z6" s="3" t="s">
        <v>9</v>
      </c>
      <c r="AA6" s="44" t="str">
        <f>+E4</f>
        <v>田辺雄一</v>
      </c>
    </row>
    <row r="7" spans="3:28" ht="14.25" thickBot="1" x14ac:dyDescent="0.2">
      <c r="D7" s="150" t="s">
        <v>10</v>
      </c>
      <c r="E7" s="151"/>
      <c r="F7" s="151"/>
      <c r="G7" s="151"/>
      <c r="H7" s="151"/>
      <c r="I7" s="152"/>
      <c r="J7" s="2"/>
      <c r="K7" s="2"/>
      <c r="W7" s="143" t="s">
        <v>11</v>
      </c>
      <c r="X7" s="144"/>
      <c r="Y7" s="3" t="s">
        <v>12</v>
      </c>
      <c r="Z7" s="3" t="s">
        <v>13</v>
      </c>
      <c r="AA7" s="43" t="s">
        <v>12</v>
      </c>
    </row>
    <row r="9" spans="3:28" x14ac:dyDescent="0.15">
      <c r="C9" s="153" t="s">
        <v>14</v>
      </c>
      <c r="D9" s="156" t="s">
        <v>15</v>
      </c>
      <c r="E9" s="159" t="s">
        <v>16</v>
      </c>
      <c r="F9" s="159" t="s">
        <v>17</v>
      </c>
      <c r="G9" s="153" t="s">
        <v>18</v>
      </c>
      <c r="H9" s="153" t="s">
        <v>19</v>
      </c>
      <c r="I9" s="153" t="s">
        <v>20</v>
      </c>
      <c r="J9" s="11" t="s">
        <v>49</v>
      </c>
      <c r="K9" s="153" t="s">
        <v>67</v>
      </c>
      <c r="L9" s="5" t="s">
        <v>21</v>
      </c>
      <c r="M9" s="5" t="s">
        <v>21</v>
      </c>
      <c r="N9" s="5" t="s">
        <v>21</v>
      </c>
      <c r="O9" s="5" t="s">
        <v>21</v>
      </c>
      <c r="P9" s="5" t="s">
        <v>21</v>
      </c>
      <c r="Q9" s="5" t="s">
        <v>21</v>
      </c>
      <c r="R9" s="5" t="s">
        <v>21</v>
      </c>
      <c r="S9" s="5" t="s">
        <v>21</v>
      </c>
      <c r="T9" s="5" t="s">
        <v>21</v>
      </c>
      <c r="U9" s="5" t="s">
        <v>38</v>
      </c>
      <c r="V9" s="5" t="s">
        <v>38</v>
      </c>
      <c r="W9" s="5" t="s">
        <v>38</v>
      </c>
      <c r="X9" s="153" t="s">
        <v>39</v>
      </c>
      <c r="Y9" s="153" t="s">
        <v>68</v>
      </c>
      <c r="Z9" s="153" t="s">
        <v>86</v>
      </c>
      <c r="AA9" s="153" t="s">
        <v>48</v>
      </c>
      <c r="AB9" s="153" t="s">
        <v>317</v>
      </c>
    </row>
    <row r="10" spans="3:28" x14ac:dyDescent="0.15">
      <c r="C10" s="154"/>
      <c r="D10" s="157"/>
      <c r="E10" s="160"/>
      <c r="F10" s="160"/>
      <c r="G10" s="157"/>
      <c r="H10" s="157"/>
      <c r="I10" s="157"/>
      <c r="J10" s="12" t="s">
        <v>50</v>
      </c>
      <c r="K10" s="157"/>
      <c r="L10" s="5" t="s">
        <v>36</v>
      </c>
      <c r="M10" s="5" t="s">
        <v>40</v>
      </c>
      <c r="N10" s="5" t="s">
        <v>41</v>
      </c>
      <c r="O10" s="5" t="s">
        <v>42</v>
      </c>
      <c r="P10" s="5" t="s">
        <v>43</v>
      </c>
      <c r="Q10" s="5" t="s">
        <v>44</v>
      </c>
      <c r="R10" s="5" t="s">
        <v>45</v>
      </c>
      <c r="S10" s="5" t="s">
        <v>46</v>
      </c>
      <c r="T10" s="5" t="s">
        <v>47</v>
      </c>
      <c r="U10" s="5" t="s">
        <v>23</v>
      </c>
      <c r="V10" s="5" t="s">
        <v>24</v>
      </c>
      <c r="W10" s="5" t="s">
        <v>25</v>
      </c>
      <c r="X10" s="154"/>
      <c r="Y10" s="154"/>
      <c r="Z10" s="154"/>
      <c r="AA10" s="154"/>
      <c r="AB10" s="154"/>
    </row>
    <row r="11" spans="3:28" x14ac:dyDescent="0.15">
      <c r="C11" s="155"/>
      <c r="D11" s="158"/>
      <c r="E11" s="161"/>
      <c r="F11" s="161"/>
      <c r="G11" s="158"/>
      <c r="H11" s="158"/>
      <c r="I11" s="158"/>
      <c r="J11" s="13" t="s">
        <v>51</v>
      </c>
      <c r="K11" s="158"/>
      <c r="L11" s="5" t="s">
        <v>37</v>
      </c>
      <c r="M11" s="5" t="s">
        <v>37</v>
      </c>
      <c r="N11" s="5" t="s">
        <v>37</v>
      </c>
      <c r="O11" s="5" t="s">
        <v>37</v>
      </c>
      <c r="P11" s="5" t="s">
        <v>37</v>
      </c>
      <c r="Q11" s="5" t="s">
        <v>37</v>
      </c>
      <c r="R11" s="5" t="s">
        <v>37</v>
      </c>
      <c r="S11" s="5" t="s">
        <v>37</v>
      </c>
      <c r="T11" s="5" t="s">
        <v>37</v>
      </c>
      <c r="U11" s="5" t="s">
        <v>37</v>
      </c>
      <c r="V11" s="5" t="s">
        <v>37</v>
      </c>
      <c r="W11" s="5" t="s">
        <v>37</v>
      </c>
      <c r="X11" s="155"/>
      <c r="Y11" s="155"/>
      <c r="Z11" s="155"/>
      <c r="AA11" s="155"/>
      <c r="AB11" s="155"/>
    </row>
    <row r="12" spans="3:28" ht="36.6" customHeight="1" x14ac:dyDescent="0.15">
      <c r="C12" s="6"/>
      <c r="D12" s="6"/>
      <c r="E12" s="6"/>
      <c r="F12" s="6"/>
      <c r="G12" s="6"/>
      <c r="H12" s="6"/>
      <c r="I12" s="7" t="s">
        <v>26</v>
      </c>
      <c r="J12" s="7" t="s">
        <v>52</v>
      </c>
      <c r="K12" s="7" t="s">
        <v>27</v>
      </c>
      <c r="L12" s="7" t="s">
        <v>53</v>
      </c>
      <c r="M12" s="7" t="s">
        <v>54</v>
      </c>
      <c r="N12" s="7" t="s">
        <v>55</v>
      </c>
      <c r="O12" s="7" t="s">
        <v>56</v>
      </c>
      <c r="P12" s="7" t="s">
        <v>57</v>
      </c>
      <c r="Q12" s="7" t="s">
        <v>58</v>
      </c>
      <c r="R12" s="7" t="s">
        <v>59</v>
      </c>
      <c r="S12" s="7" t="s">
        <v>60</v>
      </c>
      <c r="T12" s="7" t="s">
        <v>61</v>
      </c>
      <c r="U12" s="7" t="s">
        <v>62</v>
      </c>
      <c r="V12" s="7" t="s">
        <v>63</v>
      </c>
      <c r="W12" s="7" t="s">
        <v>64</v>
      </c>
      <c r="X12" s="8" t="s">
        <v>65</v>
      </c>
      <c r="Y12" s="9" t="s">
        <v>66</v>
      </c>
      <c r="Z12" s="17" t="s">
        <v>69</v>
      </c>
      <c r="AA12" s="9" t="s">
        <v>70</v>
      </c>
      <c r="AB12" s="9" t="s">
        <v>316</v>
      </c>
    </row>
    <row r="13" spans="3:28" ht="1.9" customHeight="1" thickBot="1" x14ac:dyDescent="0.2">
      <c r="C13" s="6"/>
      <c r="D13" s="10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10"/>
      <c r="Y13" s="6"/>
      <c r="Z13" s="6"/>
      <c r="AA13" s="10"/>
      <c r="AB13" s="10"/>
    </row>
    <row r="14" spans="3:28" ht="19.899999999999999" customHeight="1" thickBot="1" x14ac:dyDescent="0.2">
      <c r="C14" s="18" t="s">
        <v>28</v>
      </c>
      <c r="D14" s="19" t="s">
        <v>75</v>
      </c>
      <c r="E14" s="20" t="s">
        <v>29</v>
      </c>
      <c r="F14" s="21" t="s">
        <v>76</v>
      </c>
      <c r="G14" s="21"/>
      <c r="H14" s="21"/>
      <c r="I14" s="29">
        <f>当期実績予想売上高!I14</f>
        <v>0</v>
      </c>
      <c r="J14" s="29">
        <f>当期実績予想売上高!O14</f>
        <v>700</v>
      </c>
      <c r="K14" s="22">
        <v>860</v>
      </c>
      <c r="L14" s="22">
        <v>30</v>
      </c>
      <c r="M14" s="22">
        <v>40</v>
      </c>
      <c r="N14" s="22">
        <v>50</v>
      </c>
      <c r="O14" s="22">
        <v>70</v>
      </c>
      <c r="P14" s="22">
        <v>80</v>
      </c>
      <c r="Q14" s="22">
        <v>80</v>
      </c>
      <c r="R14" s="22">
        <v>80</v>
      </c>
      <c r="S14" s="22">
        <v>80</v>
      </c>
      <c r="T14" s="22">
        <v>100</v>
      </c>
      <c r="U14" s="22">
        <v>100</v>
      </c>
      <c r="V14" s="22">
        <v>50</v>
      </c>
      <c r="W14" s="23">
        <v>100</v>
      </c>
      <c r="X14" s="24">
        <f>SUM(L14:W14)</f>
        <v>860</v>
      </c>
      <c r="Y14" s="25">
        <f>IF(K14="","",+X14-K14)</f>
        <v>0</v>
      </c>
      <c r="Z14" s="26">
        <f>IF(OR(K14="",X14=""),"",ROUND(X14/K14,3))</f>
        <v>1</v>
      </c>
      <c r="AA14" s="24">
        <f>+X14-J14</f>
        <v>160</v>
      </c>
      <c r="AB14" s="27">
        <f>IF(OR(J14="",AA14=""),"",ROUND(AA14/J14,2))</f>
        <v>0.23</v>
      </c>
    </row>
    <row r="15" spans="3:28" ht="22.9" customHeight="1" thickBot="1" x14ac:dyDescent="0.2">
      <c r="C15" s="28" t="s">
        <v>30</v>
      </c>
      <c r="D15" s="19" t="s">
        <v>87</v>
      </c>
      <c r="E15" s="20" t="s">
        <v>77</v>
      </c>
      <c r="F15" s="21" t="s">
        <v>78</v>
      </c>
      <c r="G15" s="21"/>
      <c r="H15" s="21"/>
      <c r="I15" s="29" t="str">
        <f>当期実績予想売上高!I15</f>
        <v/>
      </c>
      <c r="J15" s="29">
        <f>当期実績予想売上高!O15</f>
        <v>100</v>
      </c>
      <c r="K15" s="22">
        <v>90</v>
      </c>
      <c r="L15" s="22">
        <v>90</v>
      </c>
      <c r="M15" s="22">
        <v>90</v>
      </c>
      <c r="N15" s="22">
        <v>90</v>
      </c>
      <c r="O15" s="22">
        <v>90</v>
      </c>
      <c r="P15" s="22">
        <v>90</v>
      </c>
      <c r="Q15" s="22">
        <v>90</v>
      </c>
      <c r="R15" s="22">
        <v>90</v>
      </c>
      <c r="S15" s="22">
        <v>90</v>
      </c>
      <c r="T15" s="22">
        <v>90</v>
      </c>
      <c r="U15" s="22">
        <v>90</v>
      </c>
      <c r="V15" s="22">
        <v>90</v>
      </c>
      <c r="W15" s="22">
        <v>90</v>
      </c>
      <c r="X15" s="29">
        <f>IF(OR(X14="",X14=0),"",ROUND(X17/X14,0))</f>
        <v>90</v>
      </c>
      <c r="Y15" s="25">
        <f>IF(K15="","",+X15-K15)</f>
        <v>0</v>
      </c>
      <c r="Z15" s="26">
        <f>IF(OR(K15="",X15=""),"",ROUND(X15/K15,3))</f>
        <v>1</v>
      </c>
      <c r="AA15" s="24">
        <f>+X15-J15</f>
        <v>-10</v>
      </c>
      <c r="AB15" s="27">
        <f>IF(OR(J15="",AA15=""),"",ROUND(AA15/J15,2))</f>
        <v>-0.1</v>
      </c>
    </row>
    <row r="16" spans="3:28" ht="15" thickBot="1" x14ac:dyDescent="0.2">
      <c r="C16" s="30" t="s">
        <v>31</v>
      </c>
      <c r="D16" s="31" t="s">
        <v>32</v>
      </c>
      <c r="E16" s="21" t="s">
        <v>77</v>
      </c>
      <c r="F16" s="21" t="s">
        <v>78</v>
      </c>
      <c r="G16" s="21"/>
      <c r="H16" s="21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3"/>
      <c r="V16" s="33"/>
      <c r="W16" s="33"/>
      <c r="X16" s="32"/>
      <c r="Y16" s="32"/>
      <c r="Z16" s="32"/>
      <c r="AA16" s="34"/>
      <c r="AB16" s="32"/>
    </row>
    <row r="17" spans="3:28" ht="29.25" thickBot="1" x14ac:dyDescent="0.2">
      <c r="C17" s="28" t="s">
        <v>33</v>
      </c>
      <c r="D17" s="35" t="s">
        <v>79</v>
      </c>
      <c r="E17" s="20" t="s">
        <v>77</v>
      </c>
      <c r="F17" s="21" t="s">
        <v>78</v>
      </c>
      <c r="G17" s="21" t="s">
        <v>80</v>
      </c>
      <c r="H17" s="36" t="s">
        <v>19</v>
      </c>
      <c r="I17" s="29">
        <f>当期実績予想売上高!I17</f>
        <v>0</v>
      </c>
      <c r="J17" s="29">
        <f>当期実績予想売上高!O17</f>
        <v>70000</v>
      </c>
      <c r="K17" s="29">
        <f>ROUND(K14*K15,0)+K16</f>
        <v>77400</v>
      </c>
      <c r="L17" s="29">
        <f>ROUND(L14*L15,0)+L16</f>
        <v>2700</v>
      </c>
      <c r="M17" s="29">
        <f t="shared" ref="M17:T17" si="0">ROUND(M14*M15,0)+M16</f>
        <v>3600</v>
      </c>
      <c r="N17" s="29">
        <f t="shared" si="0"/>
        <v>4500</v>
      </c>
      <c r="O17" s="29">
        <f t="shared" si="0"/>
        <v>6300</v>
      </c>
      <c r="P17" s="29">
        <f t="shared" si="0"/>
        <v>7200</v>
      </c>
      <c r="Q17" s="29">
        <f t="shared" si="0"/>
        <v>7200</v>
      </c>
      <c r="R17" s="29">
        <f t="shared" si="0"/>
        <v>7200</v>
      </c>
      <c r="S17" s="29">
        <f t="shared" si="0"/>
        <v>7200</v>
      </c>
      <c r="T17" s="29">
        <f t="shared" si="0"/>
        <v>9000</v>
      </c>
      <c r="U17" s="29">
        <f>IF(OR(U14="",U15=""),"",ROUND(U14*U15,0)+U16)</f>
        <v>9000</v>
      </c>
      <c r="V17" s="29">
        <f>IF(OR(V14="",V15=""),"",ROUND(V14*V15,0)+V16)</f>
        <v>4500</v>
      </c>
      <c r="W17" s="29">
        <f>IF(OR(W14="",W15=""),"",ROUND(W14*W15,0)+W16)</f>
        <v>9000</v>
      </c>
      <c r="X17" s="24">
        <f>SUM(L17:W17)</f>
        <v>77400</v>
      </c>
      <c r="Y17" s="25">
        <f>IF(K17="","",+X17-K17)</f>
        <v>0</v>
      </c>
      <c r="Z17" s="26">
        <f>IF(OR(K17="",X17=""),"",ROUND(X17/K17,3))</f>
        <v>1</v>
      </c>
      <c r="AA17" s="24">
        <f>+X17-J17</f>
        <v>7400</v>
      </c>
      <c r="AB17" s="27">
        <f>IF(OR(J17="",AA17=""),"",ROUND(AA17/J17,2))</f>
        <v>0.11</v>
      </c>
    </row>
    <row r="18" spans="3:28" ht="14.25" x14ac:dyDescent="0.15"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</row>
    <row r="19" spans="3:28" ht="24" x14ac:dyDescent="0.15">
      <c r="C19" s="145" t="s">
        <v>98</v>
      </c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</row>
    <row r="20" spans="3:28" ht="1.9" customHeight="1" thickBot="1" x14ac:dyDescent="0.2"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</row>
    <row r="21" spans="3:28" ht="27.75" thickBot="1" x14ac:dyDescent="0.2">
      <c r="C21" s="37"/>
      <c r="D21" s="38" t="s">
        <v>0</v>
      </c>
      <c r="E21" s="263" t="s">
        <v>81</v>
      </c>
      <c r="F21" s="264"/>
      <c r="G21" s="264"/>
      <c r="H21" s="265"/>
      <c r="I21" s="266"/>
      <c r="J21" s="39"/>
      <c r="K21" s="39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143" t="s">
        <v>2</v>
      </c>
      <c r="X21" s="144"/>
      <c r="Y21" s="16" t="s">
        <v>72</v>
      </c>
      <c r="Z21" s="16" t="s">
        <v>73</v>
      </c>
      <c r="AA21" s="16" t="s">
        <v>74</v>
      </c>
      <c r="AB21" s="37"/>
    </row>
    <row r="22" spans="3:28" ht="15" thickBot="1" x14ac:dyDescent="0.2">
      <c r="C22" s="37"/>
      <c r="D22" s="38" t="s">
        <v>82</v>
      </c>
      <c r="E22" s="263" t="s">
        <v>83</v>
      </c>
      <c r="F22" s="264"/>
      <c r="G22" s="264"/>
      <c r="H22" s="265"/>
      <c r="I22" s="266"/>
      <c r="J22" s="39"/>
      <c r="K22" s="39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143" t="s">
        <v>5</v>
      </c>
      <c r="X22" s="144"/>
      <c r="Y22" s="3" t="s">
        <v>6</v>
      </c>
      <c r="Z22" s="3" t="s">
        <v>7</v>
      </c>
      <c r="AA22" s="3" t="s">
        <v>0</v>
      </c>
      <c r="AB22" s="37"/>
    </row>
    <row r="23" spans="3:28" ht="15" thickBot="1" x14ac:dyDescent="0.2">
      <c r="C23" s="37"/>
      <c r="D23" s="40" t="s">
        <v>84</v>
      </c>
      <c r="E23" s="262" t="s">
        <v>35</v>
      </c>
      <c r="F23" s="262"/>
      <c r="G23" s="262"/>
      <c r="H23" s="262"/>
      <c r="I23" s="262"/>
      <c r="J23" s="2"/>
      <c r="K23" s="2" t="s">
        <v>315</v>
      </c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143" t="s">
        <v>8</v>
      </c>
      <c r="X23" s="144"/>
      <c r="Y23" s="3" t="s">
        <v>9</v>
      </c>
      <c r="Z23" s="3" t="s">
        <v>9</v>
      </c>
      <c r="AA23" s="44" t="str">
        <f>+E21</f>
        <v>鈴木一也</v>
      </c>
      <c r="AB23" s="37"/>
    </row>
    <row r="24" spans="3:28" ht="15" thickBot="1" x14ac:dyDescent="0.2">
      <c r="C24" s="37"/>
      <c r="D24" s="267" t="s">
        <v>85</v>
      </c>
      <c r="E24" s="268"/>
      <c r="F24" s="268"/>
      <c r="G24" s="268"/>
      <c r="H24" s="268"/>
      <c r="I24" s="269"/>
      <c r="J24" s="2"/>
      <c r="K24" s="2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143" t="s">
        <v>11</v>
      </c>
      <c r="X24" s="144"/>
      <c r="Y24" s="3" t="s">
        <v>12</v>
      </c>
      <c r="Z24" s="3" t="s">
        <v>13</v>
      </c>
      <c r="AA24" s="43" t="s">
        <v>12</v>
      </c>
      <c r="AB24" s="37"/>
    </row>
    <row r="25" spans="3:28" ht="7.15" customHeight="1" x14ac:dyDescent="0.15">
      <c r="C25" s="37"/>
      <c r="D25" s="37"/>
      <c r="E25" s="37"/>
      <c r="F25" s="37"/>
      <c r="G25" s="37"/>
      <c r="H25" s="37"/>
      <c r="I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</row>
    <row r="26" spans="3:28" ht="14.45" customHeight="1" x14ac:dyDescent="0.15">
      <c r="C26" s="153" t="s">
        <v>14</v>
      </c>
      <c r="D26" s="156" t="s">
        <v>15</v>
      </c>
      <c r="E26" s="159" t="s">
        <v>16</v>
      </c>
      <c r="F26" s="159" t="s">
        <v>17</v>
      </c>
      <c r="G26" s="153" t="s">
        <v>18</v>
      </c>
      <c r="H26" s="153" t="s">
        <v>19</v>
      </c>
      <c r="I26" s="153" t="s">
        <v>20</v>
      </c>
      <c r="J26" s="11" t="s">
        <v>49</v>
      </c>
      <c r="K26" s="153" t="s">
        <v>67</v>
      </c>
      <c r="L26" s="5" t="s">
        <v>21</v>
      </c>
      <c r="M26" s="5" t="s">
        <v>21</v>
      </c>
      <c r="N26" s="5" t="s">
        <v>21</v>
      </c>
      <c r="O26" s="5" t="s">
        <v>21</v>
      </c>
      <c r="P26" s="5" t="s">
        <v>21</v>
      </c>
      <c r="Q26" s="5" t="s">
        <v>21</v>
      </c>
      <c r="R26" s="5" t="s">
        <v>21</v>
      </c>
      <c r="S26" s="5" t="s">
        <v>21</v>
      </c>
      <c r="T26" s="5" t="s">
        <v>21</v>
      </c>
      <c r="U26" s="5" t="s">
        <v>38</v>
      </c>
      <c r="V26" s="5" t="s">
        <v>38</v>
      </c>
      <c r="W26" s="5" t="s">
        <v>38</v>
      </c>
      <c r="X26" s="153" t="s">
        <v>39</v>
      </c>
      <c r="Y26" s="153" t="s">
        <v>68</v>
      </c>
      <c r="Z26" s="153" t="s">
        <v>86</v>
      </c>
      <c r="AA26" s="153" t="s">
        <v>48</v>
      </c>
      <c r="AB26" s="153" t="s">
        <v>22</v>
      </c>
    </row>
    <row r="27" spans="3:28" x14ac:dyDescent="0.15">
      <c r="C27" s="154"/>
      <c r="D27" s="157"/>
      <c r="E27" s="160"/>
      <c r="F27" s="160"/>
      <c r="G27" s="157"/>
      <c r="H27" s="157"/>
      <c r="I27" s="157"/>
      <c r="J27" s="12" t="s">
        <v>50</v>
      </c>
      <c r="K27" s="157"/>
      <c r="L27" s="5" t="s">
        <v>36</v>
      </c>
      <c r="M27" s="5" t="s">
        <v>40</v>
      </c>
      <c r="N27" s="5" t="s">
        <v>41</v>
      </c>
      <c r="O27" s="5" t="s">
        <v>42</v>
      </c>
      <c r="P27" s="5" t="s">
        <v>43</v>
      </c>
      <c r="Q27" s="5" t="s">
        <v>44</v>
      </c>
      <c r="R27" s="5" t="s">
        <v>45</v>
      </c>
      <c r="S27" s="5" t="s">
        <v>46</v>
      </c>
      <c r="T27" s="5" t="s">
        <v>47</v>
      </c>
      <c r="U27" s="5" t="s">
        <v>23</v>
      </c>
      <c r="V27" s="5" t="s">
        <v>24</v>
      </c>
      <c r="W27" s="5" t="s">
        <v>25</v>
      </c>
      <c r="X27" s="154"/>
      <c r="Y27" s="154"/>
      <c r="Z27" s="154"/>
      <c r="AA27" s="154"/>
      <c r="AB27" s="154"/>
    </row>
    <row r="28" spans="3:28" x14ac:dyDescent="0.15">
      <c r="C28" s="155"/>
      <c r="D28" s="158"/>
      <c r="E28" s="161"/>
      <c r="F28" s="161"/>
      <c r="G28" s="158"/>
      <c r="H28" s="158"/>
      <c r="I28" s="158"/>
      <c r="J28" s="13" t="s">
        <v>51</v>
      </c>
      <c r="K28" s="158"/>
      <c r="L28" s="5" t="s">
        <v>37</v>
      </c>
      <c r="M28" s="5" t="s">
        <v>37</v>
      </c>
      <c r="N28" s="5" t="s">
        <v>37</v>
      </c>
      <c r="O28" s="5" t="s">
        <v>37</v>
      </c>
      <c r="P28" s="5" t="s">
        <v>37</v>
      </c>
      <c r="Q28" s="5" t="s">
        <v>37</v>
      </c>
      <c r="R28" s="5" t="s">
        <v>37</v>
      </c>
      <c r="S28" s="5" t="s">
        <v>37</v>
      </c>
      <c r="T28" s="5" t="s">
        <v>37</v>
      </c>
      <c r="U28" s="5" t="s">
        <v>37</v>
      </c>
      <c r="V28" s="5" t="s">
        <v>37</v>
      </c>
      <c r="W28" s="5" t="s">
        <v>37</v>
      </c>
      <c r="X28" s="155"/>
      <c r="Y28" s="155"/>
      <c r="Z28" s="155"/>
      <c r="AA28" s="155"/>
      <c r="AB28" s="155"/>
    </row>
    <row r="29" spans="3:28" ht="27" customHeight="1" x14ac:dyDescent="0.15">
      <c r="C29" s="6"/>
      <c r="D29" s="6"/>
      <c r="E29" s="6"/>
      <c r="F29" s="6"/>
      <c r="G29" s="6"/>
      <c r="H29" s="6"/>
      <c r="I29" s="7" t="s">
        <v>26</v>
      </c>
      <c r="J29" s="7" t="s">
        <v>52</v>
      </c>
      <c r="K29" s="7" t="s">
        <v>27</v>
      </c>
      <c r="L29" s="7" t="s">
        <v>53</v>
      </c>
      <c r="M29" s="7" t="s">
        <v>54</v>
      </c>
      <c r="N29" s="7" t="s">
        <v>55</v>
      </c>
      <c r="O29" s="7" t="s">
        <v>56</v>
      </c>
      <c r="P29" s="7" t="s">
        <v>57</v>
      </c>
      <c r="Q29" s="7" t="s">
        <v>58</v>
      </c>
      <c r="R29" s="7" t="s">
        <v>59</v>
      </c>
      <c r="S29" s="7" t="s">
        <v>60</v>
      </c>
      <c r="T29" s="7" t="s">
        <v>61</v>
      </c>
      <c r="U29" s="7" t="s">
        <v>62</v>
      </c>
      <c r="V29" s="7" t="s">
        <v>63</v>
      </c>
      <c r="W29" s="7" t="s">
        <v>64</v>
      </c>
      <c r="X29" s="8" t="s">
        <v>65</v>
      </c>
      <c r="Y29" s="9" t="s">
        <v>66</v>
      </c>
      <c r="Z29" s="17" t="s">
        <v>69</v>
      </c>
      <c r="AA29" s="9" t="s">
        <v>70</v>
      </c>
      <c r="AB29" s="9" t="s">
        <v>71</v>
      </c>
    </row>
    <row r="30" spans="3:28" ht="1.9" customHeight="1" thickBot="1" x14ac:dyDescent="0.2">
      <c r="C30" s="6"/>
      <c r="D30" s="10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10"/>
      <c r="Y30" s="6"/>
      <c r="Z30" s="6"/>
      <c r="AA30" s="10"/>
      <c r="AB30" s="10"/>
    </row>
    <row r="31" spans="3:28" ht="19.149999999999999" customHeight="1" thickBot="1" x14ac:dyDescent="0.2">
      <c r="C31" s="18" t="s">
        <v>28</v>
      </c>
      <c r="D31" s="19" t="s">
        <v>75</v>
      </c>
      <c r="E31" s="20" t="s">
        <v>29</v>
      </c>
      <c r="F31" s="21" t="s">
        <v>76</v>
      </c>
      <c r="G31" s="21"/>
      <c r="H31" s="21"/>
      <c r="I31" s="29">
        <f>当期実績予想売上高!I31</f>
        <v>0</v>
      </c>
      <c r="J31" s="29">
        <f>当期実績予想売上高!O31</f>
        <v>300</v>
      </c>
      <c r="K31" s="22">
        <v>400</v>
      </c>
      <c r="L31" s="22">
        <v>20</v>
      </c>
      <c r="M31" s="22">
        <v>20</v>
      </c>
      <c r="N31" s="22">
        <v>20</v>
      </c>
      <c r="O31" s="22">
        <v>30</v>
      </c>
      <c r="P31" s="22">
        <v>30</v>
      </c>
      <c r="Q31" s="22">
        <v>30</v>
      </c>
      <c r="R31" s="22">
        <v>30</v>
      </c>
      <c r="S31" s="22">
        <v>30</v>
      </c>
      <c r="T31" s="22">
        <v>40</v>
      </c>
      <c r="U31" s="22">
        <v>50</v>
      </c>
      <c r="V31" s="22">
        <v>50</v>
      </c>
      <c r="W31" s="22">
        <v>50</v>
      </c>
      <c r="X31" s="24">
        <f>SUM(L31:W31)</f>
        <v>400</v>
      </c>
      <c r="Y31" s="25">
        <f>IF(K31="","",+X31-K31)</f>
        <v>0</v>
      </c>
      <c r="Z31" s="26">
        <f>IF(OR(K31="",X31=""),"",ROUND(X31/K31,3))</f>
        <v>1</v>
      </c>
      <c r="AA31" s="24">
        <f>+X31-J31</f>
        <v>100</v>
      </c>
      <c r="AB31" s="27">
        <f>IF(OR(J31="",AA31=""),"",ROUND(AA31/J31,2))</f>
        <v>0.33</v>
      </c>
    </row>
    <row r="32" spans="3:28" ht="19.899999999999999" customHeight="1" thickBot="1" x14ac:dyDescent="0.2">
      <c r="C32" s="28" t="s">
        <v>30</v>
      </c>
      <c r="D32" s="19" t="s">
        <v>87</v>
      </c>
      <c r="E32" s="20" t="s">
        <v>77</v>
      </c>
      <c r="F32" s="21" t="s">
        <v>78</v>
      </c>
      <c r="G32" s="21"/>
      <c r="H32" s="21"/>
      <c r="I32" s="29" t="str">
        <f>当期実績予想売上高!I32</f>
        <v/>
      </c>
      <c r="J32" s="29">
        <f>当期実績予想売上高!O32</f>
        <v>100</v>
      </c>
      <c r="K32" s="22">
        <v>90</v>
      </c>
      <c r="L32" s="22">
        <v>90</v>
      </c>
      <c r="M32" s="22">
        <v>90</v>
      </c>
      <c r="N32" s="22">
        <v>90</v>
      </c>
      <c r="O32" s="22">
        <v>90</v>
      </c>
      <c r="P32" s="22">
        <v>90</v>
      </c>
      <c r="Q32" s="22">
        <v>90</v>
      </c>
      <c r="R32" s="22">
        <v>90</v>
      </c>
      <c r="S32" s="22">
        <v>90</v>
      </c>
      <c r="T32" s="22">
        <v>90</v>
      </c>
      <c r="U32" s="22">
        <v>90</v>
      </c>
      <c r="V32" s="22">
        <v>90</v>
      </c>
      <c r="W32" s="22">
        <v>90</v>
      </c>
      <c r="X32" s="29">
        <f>IF(OR(X31="",X31=0),"",ROUND(X34/X31,0))</f>
        <v>90</v>
      </c>
      <c r="Y32" s="25">
        <f>IF(K32="","",+X32-K32)</f>
        <v>0</v>
      </c>
      <c r="Z32" s="26">
        <f>IF(OR(K32="",X32=""),"",ROUND(X32/K32,3))</f>
        <v>1</v>
      </c>
      <c r="AA32" s="24">
        <f>+X32-J32</f>
        <v>-10</v>
      </c>
      <c r="AB32" s="27">
        <f>IF(OR(J32="",AA32=""),"",ROUND(AA32/J32,2))</f>
        <v>-0.1</v>
      </c>
    </row>
    <row r="33" spans="3:28" ht="15" thickBot="1" x14ac:dyDescent="0.2">
      <c r="C33" s="30" t="s">
        <v>31</v>
      </c>
      <c r="D33" s="31" t="s">
        <v>32</v>
      </c>
      <c r="E33" s="21" t="s">
        <v>77</v>
      </c>
      <c r="F33" s="21" t="s">
        <v>78</v>
      </c>
      <c r="G33" s="21"/>
      <c r="H33" s="21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3"/>
      <c r="V33" s="33"/>
      <c r="W33" s="33"/>
      <c r="X33" s="32"/>
      <c r="Y33" s="32"/>
      <c r="Z33" s="32"/>
      <c r="AA33" s="34"/>
      <c r="AB33" s="32"/>
    </row>
    <row r="34" spans="3:28" ht="29.25" thickBot="1" x14ac:dyDescent="0.2">
      <c r="C34" s="28" t="s">
        <v>33</v>
      </c>
      <c r="D34" s="35" t="s">
        <v>79</v>
      </c>
      <c r="E34" s="20" t="s">
        <v>77</v>
      </c>
      <c r="F34" s="21" t="s">
        <v>78</v>
      </c>
      <c r="G34" s="21" t="s">
        <v>80</v>
      </c>
      <c r="H34" s="36" t="s">
        <v>19</v>
      </c>
      <c r="I34" s="29">
        <f>当期実績予想売上高!I34</f>
        <v>0</v>
      </c>
      <c r="J34" s="29">
        <f>当期実績予想売上高!O34</f>
        <v>30000</v>
      </c>
      <c r="K34" s="29">
        <f>ROUND(K31*K32,0)+K33</f>
        <v>36000</v>
      </c>
      <c r="L34" s="29">
        <f>ROUND(L31*L32,0)+L33</f>
        <v>1800</v>
      </c>
      <c r="M34" s="29">
        <f t="shared" ref="M34" si="1">ROUND(M31*M32,0)+M33</f>
        <v>1800</v>
      </c>
      <c r="N34" s="29">
        <f t="shared" ref="N34" si="2">ROUND(N31*N32,0)+N33</f>
        <v>1800</v>
      </c>
      <c r="O34" s="29">
        <f t="shared" ref="O34" si="3">ROUND(O31*O32,0)+O33</f>
        <v>2700</v>
      </c>
      <c r="P34" s="29">
        <f t="shared" ref="P34" si="4">ROUND(P31*P32,0)+P33</f>
        <v>2700</v>
      </c>
      <c r="Q34" s="29">
        <f t="shared" ref="Q34" si="5">ROUND(Q31*Q32,0)+Q33</f>
        <v>2700</v>
      </c>
      <c r="R34" s="29">
        <f t="shared" ref="R34" si="6">ROUND(R31*R32,0)+R33</f>
        <v>2700</v>
      </c>
      <c r="S34" s="29">
        <f t="shared" ref="S34" si="7">ROUND(S31*S32,0)+S33</f>
        <v>2700</v>
      </c>
      <c r="T34" s="29">
        <f t="shared" ref="T34" si="8">ROUND(T31*T32,0)+T33</f>
        <v>3600</v>
      </c>
      <c r="U34" s="29">
        <f>IF(OR(U31="",U32=""),"",ROUND(U31*U32,0)+U33)</f>
        <v>4500</v>
      </c>
      <c r="V34" s="29">
        <f>IF(OR(V31="",V32=""),"",ROUND(V31*V32,0)+V33)</f>
        <v>4500</v>
      </c>
      <c r="W34" s="29">
        <f>IF(OR(W31="",W32=""),"",ROUND(W31*W32,0)+W33)</f>
        <v>4500</v>
      </c>
      <c r="X34" s="24">
        <f>SUM(L34:W34)</f>
        <v>36000</v>
      </c>
      <c r="Y34" s="25">
        <f>IF(K34="","",+X34-K34)</f>
        <v>0</v>
      </c>
      <c r="Z34" s="26">
        <f>IF(OR(K34="",X34=""),"",ROUND(X34/K34,3))</f>
        <v>1</v>
      </c>
      <c r="AA34" s="24">
        <f>+X34-J34</f>
        <v>6000</v>
      </c>
      <c r="AB34" s="27">
        <f>IF(OR(J34="",AA34=""),"",ROUND(AA34/J34,2))</f>
        <v>0.2</v>
      </c>
    </row>
    <row r="35" spans="3:28" ht="14.25" x14ac:dyDescent="0.15"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</row>
    <row r="36" spans="3:28" ht="21" x14ac:dyDescent="0.15">
      <c r="C36" s="270" t="s">
        <v>96</v>
      </c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0"/>
      <c r="Z36" s="270"/>
      <c r="AA36" s="270"/>
      <c r="AB36" s="270"/>
    </row>
    <row r="37" spans="3:28" ht="3.6" customHeight="1" thickBot="1" x14ac:dyDescent="0.2"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</row>
    <row r="38" spans="3:28" ht="27" customHeight="1" thickBot="1" x14ac:dyDescent="0.2">
      <c r="C38" s="37"/>
      <c r="D38" s="38" t="s">
        <v>0</v>
      </c>
      <c r="E38" s="259" t="s">
        <v>90</v>
      </c>
      <c r="F38" s="260"/>
      <c r="G38" s="260"/>
      <c r="H38" s="260"/>
      <c r="I38" s="260"/>
      <c r="J38" s="260"/>
      <c r="K38" s="260"/>
      <c r="L38" s="261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143" t="s">
        <v>2</v>
      </c>
      <c r="X38" s="144"/>
      <c r="Y38" s="16" t="s">
        <v>93</v>
      </c>
      <c r="Z38" s="16" t="s">
        <v>94</v>
      </c>
      <c r="AA38" s="16" t="s">
        <v>95</v>
      </c>
      <c r="AB38" s="37"/>
    </row>
    <row r="39" spans="3:28" ht="15" thickBot="1" x14ac:dyDescent="0.2">
      <c r="C39" s="37"/>
      <c r="D39" s="38" t="s">
        <v>82</v>
      </c>
      <c r="E39" s="259" t="s">
        <v>91</v>
      </c>
      <c r="F39" s="260"/>
      <c r="G39" s="260"/>
      <c r="H39" s="260"/>
      <c r="I39" s="260"/>
      <c r="J39" s="260"/>
      <c r="K39" s="260"/>
      <c r="L39" s="261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143" t="s">
        <v>5</v>
      </c>
      <c r="X39" s="144"/>
      <c r="Y39" s="3" t="s">
        <v>6</v>
      </c>
      <c r="Z39" s="3" t="s">
        <v>7</v>
      </c>
      <c r="AA39" s="3" t="s">
        <v>0</v>
      </c>
      <c r="AB39" s="37"/>
    </row>
    <row r="40" spans="3:28" ht="15" thickBot="1" x14ac:dyDescent="0.2">
      <c r="C40" s="37"/>
      <c r="D40" s="40" t="s">
        <v>84</v>
      </c>
      <c r="E40" s="262" t="s">
        <v>35</v>
      </c>
      <c r="F40" s="262"/>
      <c r="G40" s="262"/>
      <c r="H40" s="262"/>
      <c r="I40" s="262"/>
      <c r="J40" s="41"/>
      <c r="K40" s="39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143" t="s">
        <v>8</v>
      </c>
      <c r="X40" s="144"/>
      <c r="Y40" s="3" t="s">
        <v>9</v>
      </c>
      <c r="Z40" s="3" t="s">
        <v>9</v>
      </c>
      <c r="AA40" s="44" t="s">
        <v>92</v>
      </c>
      <c r="AB40" s="37"/>
    </row>
    <row r="41" spans="3:28" ht="15" thickBot="1" x14ac:dyDescent="0.2">
      <c r="C41" s="37"/>
      <c r="D41" s="267" t="s">
        <v>85</v>
      </c>
      <c r="E41" s="268"/>
      <c r="F41" s="268"/>
      <c r="G41" s="268"/>
      <c r="H41" s="268"/>
      <c r="I41" s="269"/>
      <c r="J41" s="41"/>
      <c r="K41" s="39"/>
      <c r="L41" s="131" t="s">
        <v>321</v>
      </c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143" t="s">
        <v>11</v>
      </c>
      <c r="X41" s="144"/>
      <c r="Y41" s="3" t="s">
        <v>12</v>
      </c>
      <c r="Z41" s="3" t="s">
        <v>13</v>
      </c>
      <c r="AA41" s="43" t="s">
        <v>12</v>
      </c>
      <c r="AB41" s="37"/>
    </row>
    <row r="42" spans="3:28" ht="4.1500000000000004" customHeight="1" thickBot="1" x14ac:dyDescent="0.2"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</row>
    <row r="43" spans="3:28" ht="14.45" customHeight="1" x14ac:dyDescent="0.15">
      <c r="C43" s="153" t="s">
        <v>14</v>
      </c>
      <c r="D43" s="156" t="s">
        <v>15</v>
      </c>
      <c r="E43" s="159" t="s">
        <v>16</v>
      </c>
      <c r="F43" s="159" t="s">
        <v>17</v>
      </c>
      <c r="G43" s="153" t="s">
        <v>18</v>
      </c>
      <c r="H43" s="153" t="s">
        <v>19</v>
      </c>
      <c r="I43" s="153" t="s">
        <v>318</v>
      </c>
      <c r="J43" s="11" t="s">
        <v>49</v>
      </c>
      <c r="K43" s="153" t="s">
        <v>320</v>
      </c>
      <c r="L43" s="5" t="s">
        <v>21</v>
      </c>
      <c r="M43" s="5" t="s">
        <v>21</v>
      </c>
      <c r="N43" s="5" t="s">
        <v>21</v>
      </c>
      <c r="O43" s="5" t="s">
        <v>21</v>
      </c>
      <c r="P43" s="5" t="s">
        <v>21</v>
      </c>
      <c r="Q43" s="5" t="s">
        <v>21</v>
      </c>
      <c r="R43" s="5" t="s">
        <v>21</v>
      </c>
      <c r="S43" s="5" t="s">
        <v>21</v>
      </c>
      <c r="T43" s="5" t="s">
        <v>21</v>
      </c>
      <c r="U43" s="5" t="s">
        <v>38</v>
      </c>
      <c r="V43" s="5" t="s">
        <v>38</v>
      </c>
      <c r="W43" s="45" t="s">
        <v>38</v>
      </c>
      <c r="X43" s="271" t="s">
        <v>39</v>
      </c>
      <c r="Y43" s="274" t="s">
        <v>68</v>
      </c>
      <c r="Z43" s="153" t="s">
        <v>86</v>
      </c>
      <c r="AA43" s="153" t="s">
        <v>48</v>
      </c>
      <c r="AB43" s="153" t="s">
        <v>22</v>
      </c>
    </row>
    <row r="44" spans="3:28" x14ac:dyDescent="0.15">
      <c r="C44" s="154"/>
      <c r="D44" s="157"/>
      <c r="E44" s="160"/>
      <c r="F44" s="160"/>
      <c r="G44" s="157"/>
      <c r="H44" s="157"/>
      <c r="I44" s="157"/>
      <c r="J44" s="12" t="s">
        <v>50</v>
      </c>
      <c r="K44" s="157"/>
      <c r="L44" s="5" t="s">
        <v>36</v>
      </c>
      <c r="M44" s="5" t="s">
        <v>40</v>
      </c>
      <c r="N44" s="5" t="s">
        <v>41</v>
      </c>
      <c r="O44" s="5" t="s">
        <v>42</v>
      </c>
      <c r="P44" s="5" t="s">
        <v>43</v>
      </c>
      <c r="Q44" s="5" t="s">
        <v>44</v>
      </c>
      <c r="R44" s="5" t="s">
        <v>45</v>
      </c>
      <c r="S44" s="5" t="s">
        <v>46</v>
      </c>
      <c r="T44" s="5" t="s">
        <v>47</v>
      </c>
      <c r="U44" s="5" t="s">
        <v>23</v>
      </c>
      <c r="V44" s="5" t="s">
        <v>24</v>
      </c>
      <c r="W44" s="45" t="s">
        <v>25</v>
      </c>
      <c r="X44" s="272"/>
      <c r="Y44" s="275"/>
      <c r="Z44" s="154"/>
      <c r="AA44" s="154"/>
      <c r="AB44" s="154"/>
    </row>
    <row r="45" spans="3:28" x14ac:dyDescent="0.15">
      <c r="C45" s="155"/>
      <c r="D45" s="158"/>
      <c r="E45" s="161"/>
      <c r="F45" s="161"/>
      <c r="G45" s="158"/>
      <c r="H45" s="158"/>
      <c r="I45" s="158"/>
      <c r="J45" s="52" t="s">
        <v>319</v>
      </c>
      <c r="K45" s="158"/>
      <c r="L45" s="5" t="s">
        <v>37</v>
      </c>
      <c r="M45" s="5" t="s">
        <v>37</v>
      </c>
      <c r="N45" s="5" t="s">
        <v>37</v>
      </c>
      <c r="O45" s="5" t="s">
        <v>37</v>
      </c>
      <c r="P45" s="5" t="s">
        <v>37</v>
      </c>
      <c r="Q45" s="5" t="s">
        <v>37</v>
      </c>
      <c r="R45" s="5" t="s">
        <v>37</v>
      </c>
      <c r="S45" s="5" t="s">
        <v>37</v>
      </c>
      <c r="T45" s="5" t="s">
        <v>37</v>
      </c>
      <c r="U45" s="5" t="s">
        <v>37</v>
      </c>
      <c r="V45" s="5" t="s">
        <v>37</v>
      </c>
      <c r="W45" s="45" t="s">
        <v>37</v>
      </c>
      <c r="X45" s="273"/>
      <c r="Y45" s="276"/>
      <c r="Z45" s="155"/>
      <c r="AA45" s="155"/>
      <c r="AB45" s="155"/>
    </row>
    <row r="46" spans="3:28" ht="30.6" customHeight="1" x14ac:dyDescent="0.15">
      <c r="C46" s="6"/>
      <c r="D46" s="6"/>
      <c r="E46" s="6"/>
      <c r="F46" s="6"/>
      <c r="G46" s="6"/>
      <c r="H46" s="6"/>
      <c r="I46" s="7" t="s">
        <v>26</v>
      </c>
      <c r="J46" s="7" t="s">
        <v>52</v>
      </c>
      <c r="K46" s="7" t="s">
        <v>27</v>
      </c>
      <c r="L46" s="7" t="s">
        <v>53</v>
      </c>
      <c r="M46" s="7" t="s">
        <v>54</v>
      </c>
      <c r="N46" s="7" t="s">
        <v>55</v>
      </c>
      <c r="O46" s="7" t="s">
        <v>56</v>
      </c>
      <c r="P46" s="7" t="s">
        <v>57</v>
      </c>
      <c r="Q46" s="7" t="s">
        <v>58</v>
      </c>
      <c r="R46" s="7" t="s">
        <v>59</v>
      </c>
      <c r="S46" s="7" t="s">
        <v>60</v>
      </c>
      <c r="T46" s="7" t="s">
        <v>61</v>
      </c>
      <c r="U46" s="7" t="s">
        <v>62</v>
      </c>
      <c r="V46" s="7" t="s">
        <v>63</v>
      </c>
      <c r="W46" s="46" t="s">
        <v>64</v>
      </c>
      <c r="X46" s="50" t="s">
        <v>65</v>
      </c>
      <c r="Y46" s="48" t="s">
        <v>66</v>
      </c>
      <c r="Z46" s="17" t="s">
        <v>69</v>
      </c>
      <c r="AA46" s="9" t="s">
        <v>70</v>
      </c>
      <c r="AB46" s="9" t="s">
        <v>71</v>
      </c>
    </row>
    <row r="47" spans="3:28" ht="4.1500000000000004" customHeight="1" thickBot="1" x14ac:dyDescent="0.2">
      <c r="C47" s="6"/>
      <c r="D47" s="10"/>
      <c r="E47" s="6"/>
      <c r="F47" s="6"/>
      <c r="G47" s="6"/>
      <c r="H47" s="6"/>
      <c r="I47" s="6"/>
      <c r="J47" s="6"/>
      <c r="K47" s="10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47"/>
      <c r="X47" s="51"/>
      <c r="Y47" s="49"/>
      <c r="Z47" s="6"/>
      <c r="AA47" s="10"/>
      <c r="AB47" s="10"/>
    </row>
    <row r="48" spans="3:28" ht="15" thickBot="1" x14ac:dyDescent="0.2">
      <c r="C48" s="18" t="s">
        <v>28</v>
      </c>
      <c r="D48" s="19" t="s">
        <v>88</v>
      </c>
      <c r="E48" s="20" t="s">
        <v>29</v>
      </c>
      <c r="F48" s="21" t="s">
        <v>76</v>
      </c>
      <c r="G48" s="21"/>
      <c r="H48" s="21"/>
      <c r="I48" s="29">
        <f>+I14+I31</f>
        <v>0</v>
      </c>
      <c r="J48" s="42">
        <f>+J14+J31</f>
        <v>1000</v>
      </c>
      <c r="K48" s="129">
        <f>予算編成方針売上高!U90</f>
        <v>1260</v>
      </c>
      <c r="L48" s="25">
        <f t="shared" ref="L48:W48" si="9">+L14+L31</f>
        <v>50</v>
      </c>
      <c r="M48" s="29">
        <f t="shared" si="9"/>
        <v>60</v>
      </c>
      <c r="N48" s="29">
        <f t="shared" si="9"/>
        <v>70</v>
      </c>
      <c r="O48" s="29">
        <f t="shared" si="9"/>
        <v>100</v>
      </c>
      <c r="P48" s="29">
        <f t="shared" si="9"/>
        <v>110</v>
      </c>
      <c r="Q48" s="29">
        <f t="shared" si="9"/>
        <v>110</v>
      </c>
      <c r="R48" s="29">
        <f t="shared" si="9"/>
        <v>110</v>
      </c>
      <c r="S48" s="29">
        <f t="shared" si="9"/>
        <v>110</v>
      </c>
      <c r="T48" s="29">
        <f t="shared" si="9"/>
        <v>140</v>
      </c>
      <c r="U48" s="29">
        <f t="shared" si="9"/>
        <v>150</v>
      </c>
      <c r="V48" s="29">
        <f t="shared" si="9"/>
        <v>100</v>
      </c>
      <c r="W48" s="42">
        <f t="shared" si="9"/>
        <v>150</v>
      </c>
      <c r="X48" s="130">
        <f>SUM(L48:W48)</f>
        <v>1260</v>
      </c>
      <c r="Y48" s="25">
        <f>IF(K48="","",+X48-K48)</f>
        <v>0</v>
      </c>
      <c r="Z48" s="26">
        <f>IF(OR(K48="",X48=""),"",ROUND(X48/K48,3))</f>
        <v>1</v>
      </c>
      <c r="AA48" s="24">
        <f>+X48-J48</f>
        <v>260</v>
      </c>
      <c r="AB48" s="27">
        <f>IF(OR(J48="",AA48=""),"",ROUND(AA48/J48,2))</f>
        <v>0.26</v>
      </c>
    </row>
    <row r="49" spans="3:28" ht="36" customHeight="1" thickBot="1" x14ac:dyDescent="0.2">
      <c r="C49" s="28" t="s">
        <v>33</v>
      </c>
      <c r="D49" s="35" t="s">
        <v>89</v>
      </c>
      <c r="E49" s="20" t="s">
        <v>77</v>
      </c>
      <c r="F49" s="21" t="s">
        <v>78</v>
      </c>
      <c r="G49" s="21" t="s">
        <v>80</v>
      </c>
      <c r="H49" s="36" t="s">
        <v>19</v>
      </c>
      <c r="I49" s="29">
        <f>+I17+I34</f>
        <v>0</v>
      </c>
      <c r="J49" s="42">
        <f>+J17+J34</f>
        <v>100000</v>
      </c>
      <c r="K49" s="129">
        <f>予算編成方針売上高!K93</f>
        <v>113400</v>
      </c>
      <c r="L49" s="25">
        <f t="shared" ref="L49:W49" si="10">+L17+L34</f>
        <v>4500</v>
      </c>
      <c r="M49" s="29">
        <f t="shared" si="10"/>
        <v>5400</v>
      </c>
      <c r="N49" s="29">
        <f t="shared" si="10"/>
        <v>6300</v>
      </c>
      <c r="O49" s="29">
        <f t="shared" si="10"/>
        <v>9000</v>
      </c>
      <c r="P49" s="29">
        <f t="shared" si="10"/>
        <v>9900</v>
      </c>
      <c r="Q49" s="29">
        <f t="shared" si="10"/>
        <v>9900</v>
      </c>
      <c r="R49" s="29">
        <f t="shared" si="10"/>
        <v>9900</v>
      </c>
      <c r="S49" s="29">
        <f t="shared" si="10"/>
        <v>9900</v>
      </c>
      <c r="T49" s="29">
        <f t="shared" si="10"/>
        <v>12600</v>
      </c>
      <c r="U49" s="29">
        <f t="shared" si="10"/>
        <v>13500</v>
      </c>
      <c r="V49" s="29">
        <f t="shared" si="10"/>
        <v>9000</v>
      </c>
      <c r="W49" s="42">
        <f t="shared" si="10"/>
        <v>13500</v>
      </c>
      <c r="X49" s="130">
        <f>SUM(L49:W49)</f>
        <v>113400</v>
      </c>
      <c r="Y49" s="25">
        <f>IF(K49="","",+X49-K49)</f>
        <v>0</v>
      </c>
      <c r="Z49" s="26">
        <f>IF(OR(K49="",X49=""),"",ROUND(X49/K49,3))</f>
        <v>1</v>
      </c>
      <c r="AA49" s="24">
        <f>+X49-J49</f>
        <v>13400</v>
      </c>
      <c r="AB49" s="27">
        <f>IF(OR(J49="",AA49=""),"",ROUND(AA49/J49,2))</f>
        <v>0.13</v>
      </c>
    </row>
    <row r="50" spans="3:28" ht="13.9" customHeight="1" thickBot="1" x14ac:dyDescent="0.2">
      <c r="C50" s="28" t="s">
        <v>30</v>
      </c>
      <c r="D50" s="19" t="s">
        <v>87</v>
      </c>
      <c r="E50" s="20" t="s">
        <v>77</v>
      </c>
      <c r="F50" s="21" t="s">
        <v>78</v>
      </c>
      <c r="G50" s="21"/>
      <c r="H50" s="21"/>
      <c r="I50" s="29" t="str">
        <f>IF(OR(I48="",I48=0),"",ROUND(I49/I48,0))</f>
        <v/>
      </c>
      <c r="J50" s="29">
        <f>IF(OR(J48="",J48=0),"",ROUND(J49/J48,0))</f>
        <v>100</v>
      </c>
      <c r="K50" s="129">
        <f>予算編成方針売上高!Q90</f>
        <v>90</v>
      </c>
      <c r="L50" s="29">
        <f t="shared" ref="L50:W50" si="11">IF(OR(L48="",L48=0),"",ROUND(L49/L48,0))</f>
        <v>90</v>
      </c>
      <c r="M50" s="29">
        <f t="shared" si="11"/>
        <v>90</v>
      </c>
      <c r="N50" s="29">
        <f t="shared" si="11"/>
        <v>90</v>
      </c>
      <c r="O50" s="29">
        <f t="shared" si="11"/>
        <v>90</v>
      </c>
      <c r="P50" s="29">
        <f t="shared" si="11"/>
        <v>90</v>
      </c>
      <c r="Q50" s="29">
        <f t="shared" si="11"/>
        <v>90</v>
      </c>
      <c r="R50" s="29">
        <f t="shared" si="11"/>
        <v>90</v>
      </c>
      <c r="S50" s="29">
        <f t="shared" si="11"/>
        <v>90</v>
      </c>
      <c r="T50" s="29">
        <f t="shared" si="11"/>
        <v>90</v>
      </c>
      <c r="U50" s="29">
        <f t="shared" si="11"/>
        <v>90</v>
      </c>
      <c r="V50" s="29">
        <f t="shared" si="11"/>
        <v>90</v>
      </c>
      <c r="W50" s="42">
        <f t="shared" si="11"/>
        <v>90</v>
      </c>
      <c r="X50" s="132">
        <f>IF(OR(X48="",X48=0),"",ROUND(X49/X48,0))</f>
        <v>90</v>
      </c>
      <c r="Y50" s="25">
        <f>IF(K50="","",+X50-K50)</f>
        <v>0</v>
      </c>
      <c r="Z50" s="26">
        <f>IF(OR(K50="",X50=""),"",ROUND(X50/K50,3))</f>
        <v>1</v>
      </c>
      <c r="AA50" s="24">
        <f>+X50-J50</f>
        <v>-10</v>
      </c>
      <c r="AB50" s="27">
        <f>IF(OR(J50="",AA50=""),"",ROUND(AA50/J50,2))</f>
        <v>-0.1</v>
      </c>
    </row>
    <row r="51" spans="3:28" ht="13.9" customHeight="1" thickBot="1" x14ac:dyDescent="0.2">
      <c r="C51" s="133"/>
      <c r="D51" s="134"/>
      <c r="E51" s="135"/>
      <c r="F51" s="135"/>
      <c r="G51" s="135"/>
      <c r="H51" s="135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9" t="s">
        <v>322</v>
      </c>
      <c r="Y51" s="136"/>
      <c r="Z51" s="137"/>
      <c r="AA51" s="136"/>
      <c r="AB51" s="138"/>
    </row>
    <row r="52" spans="3:28" ht="13.9" customHeight="1" thickBot="1" x14ac:dyDescent="0.2">
      <c r="C52" s="133"/>
      <c r="D52" s="134"/>
      <c r="E52" s="135"/>
      <c r="F52" s="135"/>
      <c r="G52" s="135"/>
      <c r="H52" s="135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256" t="s">
        <v>323</v>
      </c>
      <c r="Y52" s="257"/>
      <c r="Z52" s="258"/>
      <c r="AA52" s="136"/>
      <c r="AB52" s="138"/>
    </row>
    <row r="53" spans="3:28" ht="16.899999999999999" customHeight="1" x14ac:dyDescent="0.15"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Y53" s="37"/>
      <c r="Z53" s="37"/>
      <c r="AA53" s="37"/>
      <c r="AB53" s="37"/>
    </row>
  </sheetData>
  <mergeCells count="67">
    <mergeCell ref="AB43:AB45"/>
    <mergeCell ref="D41:I41"/>
    <mergeCell ref="C43:C45"/>
    <mergeCell ref="D43:D45"/>
    <mergeCell ref="E43:E45"/>
    <mergeCell ref="F43:F45"/>
    <mergeCell ref="G43:G45"/>
    <mergeCell ref="H43:H45"/>
    <mergeCell ref="I43:I45"/>
    <mergeCell ref="K43:K45"/>
    <mergeCell ref="W41:X41"/>
    <mergeCell ref="X43:X45"/>
    <mergeCell ref="Y43:Y45"/>
    <mergeCell ref="Z43:Z45"/>
    <mergeCell ref="AA43:AA45"/>
    <mergeCell ref="E40:I40"/>
    <mergeCell ref="X26:X28"/>
    <mergeCell ref="Y26:Y28"/>
    <mergeCell ref="Z26:Z28"/>
    <mergeCell ref="AA26:AA28"/>
    <mergeCell ref="W40:X40"/>
    <mergeCell ref="C36:AB36"/>
    <mergeCell ref="C19:AB19"/>
    <mergeCell ref="E21:I21"/>
    <mergeCell ref="E22:I22"/>
    <mergeCell ref="D24:I24"/>
    <mergeCell ref="C26:C28"/>
    <mergeCell ref="D26:D28"/>
    <mergeCell ref="E26:E28"/>
    <mergeCell ref="F26:F28"/>
    <mergeCell ref="G26:G28"/>
    <mergeCell ref="H26:H28"/>
    <mergeCell ref="I26:I28"/>
    <mergeCell ref="K26:K28"/>
    <mergeCell ref="AB26:AB28"/>
    <mergeCell ref="E23:I23"/>
    <mergeCell ref="C2:AB2"/>
    <mergeCell ref="E4:I4"/>
    <mergeCell ref="W4:X4"/>
    <mergeCell ref="E5:I5"/>
    <mergeCell ref="W5:X5"/>
    <mergeCell ref="C9:C11"/>
    <mergeCell ref="D9:D11"/>
    <mergeCell ref="E9:E11"/>
    <mergeCell ref="F9:F11"/>
    <mergeCell ref="G9:G11"/>
    <mergeCell ref="X9:X11"/>
    <mergeCell ref="Y9:Y11"/>
    <mergeCell ref="Z9:Z11"/>
    <mergeCell ref="AA9:AA11"/>
    <mergeCell ref="AB9:AB11"/>
    <mergeCell ref="X52:Z52"/>
    <mergeCell ref="E6:I6"/>
    <mergeCell ref="W6:X6"/>
    <mergeCell ref="E38:L38"/>
    <mergeCell ref="E39:L39"/>
    <mergeCell ref="W21:X21"/>
    <mergeCell ref="W22:X22"/>
    <mergeCell ref="W23:X23"/>
    <mergeCell ref="W24:X24"/>
    <mergeCell ref="W38:X38"/>
    <mergeCell ref="W39:X39"/>
    <mergeCell ref="D7:I7"/>
    <mergeCell ref="W7:X7"/>
    <mergeCell ref="H9:H11"/>
    <mergeCell ref="I9:I11"/>
    <mergeCell ref="K9:K11"/>
  </mergeCells>
  <phoneticPr fontId="2"/>
  <printOptions horizontalCentered="1"/>
  <pageMargins left="0.2" right="0.21" top="0.32" bottom="0.22" header="0.31496062992125984" footer="0.2"/>
  <pageSetup paperSize="9" scale="6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13"/>
  <sheetViews>
    <sheetView workbookViewId="0">
      <selection activeCell="B2" sqref="B2:K15"/>
    </sheetView>
  </sheetViews>
  <sheetFormatPr defaultRowHeight="13.5" x14ac:dyDescent="0.15"/>
  <cols>
    <col min="1" max="3" width="5.75" customWidth="1"/>
    <col min="4" max="4" width="29.5" customWidth="1"/>
    <col min="5" max="5" width="4.75" customWidth="1"/>
    <col min="6" max="7" width="5.75" customWidth="1"/>
    <col min="8" max="8" width="4.75" customWidth="1"/>
    <col min="9" max="9" width="25.875" customWidth="1"/>
    <col min="10" max="10" width="44.25" customWidth="1"/>
    <col min="11" max="43" width="5.75" customWidth="1"/>
  </cols>
  <sheetData>
    <row r="3" spans="3:10" ht="24" x14ac:dyDescent="0.15">
      <c r="C3" s="145" t="s">
        <v>341</v>
      </c>
      <c r="D3" s="145"/>
      <c r="E3" s="145"/>
      <c r="F3" s="145"/>
      <c r="G3" s="145"/>
      <c r="H3" s="145"/>
      <c r="I3" s="145"/>
      <c r="J3" s="145"/>
    </row>
    <row r="4" spans="3:10" x14ac:dyDescent="0.15">
      <c r="C4" s="277" t="s">
        <v>303</v>
      </c>
      <c r="D4" s="277"/>
      <c r="E4" s="277"/>
      <c r="F4" s="277"/>
      <c r="G4" s="277"/>
      <c r="H4" s="277"/>
      <c r="I4" s="277"/>
      <c r="J4" s="277"/>
    </row>
    <row r="7" spans="3:10" x14ac:dyDescent="0.15">
      <c r="C7" s="153" t="s">
        <v>14</v>
      </c>
      <c r="D7" s="156" t="s">
        <v>15</v>
      </c>
      <c r="E7" s="159" t="s">
        <v>16</v>
      </c>
      <c r="F7" s="159" t="s">
        <v>17</v>
      </c>
      <c r="G7" s="153" t="s">
        <v>18</v>
      </c>
      <c r="H7" s="153" t="s">
        <v>19</v>
      </c>
      <c r="I7" s="153" t="s">
        <v>304</v>
      </c>
      <c r="J7" s="153" t="s">
        <v>305</v>
      </c>
    </row>
    <row r="8" spans="3:10" x14ac:dyDescent="0.15">
      <c r="C8" s="154"/>
      <c r="D8" s="157"/>
      <c r="E8" s="160"/>
      <c r="F8" s="160"/>
      <c r="G8" s="157"/>
      <c r="H8" s="157"/>
      <c r="I8" s="157"/>
      <c r="J8" s="157"/>
    </row>
    <row r="9" spans="3:10" x14ac:dyDescent="0.15">
      <c r="C9" s="155"/>
      <c r="D9" s="158"/>
      <c r="E9" s="161"/>
      <c r="F9" s="161"/>
      <c r="G9" s="158"/>
      <c r="H9" s="158"/>
      <c r="I9" s="158"/>
      <c r="J9" s="158"/>
    </row>
    <row r="11" spans="3:10" ht="14.25" thickBot="1" x14ac:dyDescent="0.2"/>
    <row r="12" spans="3:10" ht="21.75" thickBot="1" x14ac:dyDescent="0.2">
      <c r="C12" s="18">
        <v>1</v>
      </c>
      <c r="D12" s="56" t="s">
        <v>155</v>
      </c>
      <c r="E12" s="20" t="s">
        <v>29</v>
      </c>
      <c r="F12" s="21" t="s">
        <v>76</v>
      </c>
      <c r="G12" s="21"/>
      <c r="H12" s="126"/>
      <c r="I12" s="128">
        <f>次期予算売上高!X48</f>
        <v>1260</v>
      </c>
      <c r="J12" s="127" t="s">
        <v>308</v>
      </c>
    </row>
    <row r="13" spans="3:10" ht="21.75" thickBot="1" x14ac:dyDescent="0.2">
      <c r="C13" s="28">
        <v>2</v>
      </c>
      <c r="D13" s="56" t="s">
        <v>307</v>
      </c>
      <c r="E13" s="20" t="s">
        <v>77</v>
      </c>
      <c r="F13" s="21" t="s">
        <v>78</v>
      </c>
      <c r="G13" s="21" t="s">
        <v>306</v>
      </c>
      <c r="H13" s="21"/>
      <c r="I13" s="128">
        <f>次期予算売上高!X49</f>
        <v>113400</v>
      </c>
      <c r="J13" s="127" t="s">
        <v>308</v>
      </c>
    </row>
  </sheetData>
  <mergeCells count="10">
    <mergeCell ref="I7:I9"/>
    <mergeCell ref="J7:J9"/>
    <mergeCell ref="C3:J3"/>
    <mergeCell ref="C4:J4"/>
    <mergeCell ref="C7:C9"/>
    <mergeCell ref="D7:D9"/>
    <mergeCell ref="E7:E9"/>
    <mergeCell ref="F7:F9"/>
    <mergeCell ref="G7:G9"/>
    <mergeCell ref="H7:H9"/>
  </mergeCells>
  <phoneticPr fontId="2"/>
  <pageMargins left="0.70866141732283472" right="0.44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tabSelected="1" topLeftCell="A13" workbookViewId="0">
      <selection activeCell="B30" sqref="B30"/>
    </sheetView>
  </sheetViews>
  <sheetFormatPr defaultRowHeight="13.5" x14ac:dyDescent="0.15"/>
  <cols>
    <col min="1" max="1" width="4.375" customWidth="1"/>
    <col min="2" max="2" width="22.625" customWidth="1"/>
    <col min="3" max="3" width="21" customWidth="1"/>
    <col min="4" max="4" width="4.5" customWidth="1"/>
    <col min="5" max="5" width="5.375" customWidth="1"/>
    <col min="6" max="6" width="4.25" customWidth="1"/>
    <col min="21" max="21" width="9" customWidth="1"/>
    <col min="22" max="22" width="11.75" customWidth="1"/>
    <col min="23" max="23" width="10.375" customWidth="1"/>
    <col min="25" max="25" width="10.25" customWidth="1"/>
  </cols>
  <sheetData>
    <row r="2" spans="1:26" ht="24.75" thickBot="1" x14ac:dyDescent="0.2">
      <c r="A2" s="145" t="s">
        <v>342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</row>
    <row r="3" spans="1:26" ht="14.25" thickBot="1" x14ac:dyDescent="0.2">
      <c r="D3" s="296" t="s">
        <v>195</v>
      </c>
      <c r="E3" s="297"/>
    </row>
    <row r="4" spans="1:26" ht="18" thickBot="1" x14ac:dyDescent="0.2">
      <c r="D4" s="310">
        <v>0.08</v>
      </c>
      <c r="E4" s="298"/>
      <c r="H4" s="2"/>
      <c r="I4" s="2"/>
      <c r="J4" s="2"/>
      <c r="K4" s="2"/>
      <c r="L4" s="2"/>
      <c r="M4" s="2"/>
      <c r="N4" s="2"/>
      <c r="O4" s="2"/>
      <c r="P4" s="2"/>
      <c r="U4" s="143" t="s">
        <v>2</v>
      </c>
      <c r="V4" s="144"/>
      <c r="W4" s="105" t="s">
        <v>309</v>
      </c>
      <c r="X4" s="105" t="s">
        <v>310</v>
      </c>
      <c r="Y4" s="105" t="s">
        <v>311</v>
      </c>
    </row>
    <row r="5" spans="1:26" ht="14.25" thickBot="1" x14ac:dyDescent="0.2">
      <c r="H5" s="2"/>
      <c r="I5" s="2"/>
      <c r="J5" s="2"/>
      <c r="K5" s="2"/>
      <c r="L5" s="2"/>
      <c r="M5" s="2"/>
      <c r="N5" s="2"/>
      <c r="O5" s="2"/>
      <c r="P5" s="2"/>
      <c r="U5" s="143" t="s">
        <v>5</v>
      </c>
      <c r="V5" s="144"/>
      <c r="W5" s="3" t="s">
        <v>6</v>
      </c>
      <c r="X5" s="3" t="s">
        <v>7</v>
      </c>
      <c r="Y5" s="3" t="s">
        <v>0</v>
      </c>
    </row>
    <row r="6" spans="1:26" ht="14.25" thickBot="1" x14ac:dyDescent="0.2">
      <c r="B6" s="143" t="s">
        <v>302</v>
      </c>
      <c r="C6" s="144"/>
      <c r="D6" s="281" t="s">
        <v>214</v>
      </c>
      <c r="E6" s="282"/>
      <c r="F6" s="282"/>
      <c r="G6" s="283"/>
      <c r="H6" s="2"/>
      <c r="I6" s="2"/>
      <c r="J6" s="2"/>
      <c r="K6" s="2"/>
      <c r="L6" s="2"/>
      <c r="M6" s="2"/>
      <c r="N6" s="2" t="s">
        <v>336</v>
      </c>
      <c r="O6" s="2"/>
      <c r="P6" s="2"/>
      <c r="U6" s="143" t="s">
        <v>8</v>
      </c>
      <c r="V6" s="144"/>
      <c r="W6" s="3" t="s">
        <v>9</v>
      </c>
      <c r="X6" s="3" t="s">
        <v>9</v>
      </c>
      <c r="Y6" s="3" t="s">
        <v>9</v>
      </c>
    </row>
    <row r="7" spans="1:26" ht="14.25" thickBot="1" x14ac:dyDescent="0.2">
      <c r="B7" s="150" t="s">
        <v>10</v>
      </c>
      <c r="C7" s="151"/>
      <c r="D7" s="151"/>
      <c r="E7" s="151"/>
      <c r="F7" s="151"/>
      <c r="G7" s="152"/>
      <c r="H7" s="2"/>
      <c r="I7" s="2" t="s">
        <v>324</v>
      </c>
      <c r="J7" s="2"/>
      <c r="K7" s="2"/>
      <c r="L7" s="2"/>
      <c r="M7" s="2"/>
      <c r="N7" s="2" t="s">
        <v>328</v>
      </c>
      <c r="O7" s="2"/>
      <c r="P7" s="2"/>
      <c r="U7" s="143" t="s">
        <v>11</v>
      </c>
      <c r="V7" s="144"/>
      <c r="W7" s="3" t="s">
        <v>12</v>
      </c>
      <c r="X7" s="3" t="s">
        <v>12</v>
      </c>
      <c r="Y7" s="3" t="s">
        <v>12</v>
      </c>
    </row>
    <row r="9" spans="1:26" ht="13.15" customHeight="1" thickBot="1" x14ac:dyDescent="0.2">
      <c r="A9" s="153" t="s">
        <v>14</v>
      </c>
      <c r="B9" s="14" t="s">
        <v>15</v>
      </c>
      <c r="C9" s="14"/>
      <c r="D9" s="159" t="s">
        <v>16</v>
      </c>
      <c r="E9" s="159" t="s">
        <v>17</v>
      </c>
      <c r="F9" s="153" t="s">
        <v>18</v>
      </c>
      <c r="G9" s="284" t="s">
        <v>325</v>
      </c>
      <c r="H9" s="284" t="s">
        <v>326</v>
      </c>
      <c r="I9" s="153" t="s">
        <v>327</v>
      </c>
      <c r="J9" s="5" t="s">
        <v>21</v>
      </c>
      <c r="K9" s="5" t="s">
        <v>21</v>
      </c>
      <c r="L9" s="5" t="s">
        <v>21</v>
      </c>
      <c r="M9" s="5" t="s">
        <v>21</v>
      </c>
      <c r="N9" s="5" t="s">
        <v>21</v>
      </c>
      <c r="O9" s="5" t="s">
        <v>21</v>
      </c>
      <c r="P9" s="5" t="s">
        <v>21</v>
      </c>
      <c r="Q9" s="5" t="s">
        <v>21</v>
      </c>
      <c r="R9" s="5" t="s">
        <v>21</v>
      </c>
      <c r="S9" s="5" t="s">
        <v>38</v>
      </c>
      <c r="T9" s="5" t="s">
        <v>38</v>
      </c>
      <c r="U9" s="5" t="s">
        <v>38</v>
      </c>
      <c r="V9" s="278" t="s">
        <v>330</v>
      </c>
      <c r="W9" s="153" t="s">
        <v>331</v>
      </c>
      <c r="X9" s="153" t="s">
        <v>86</v>
      </c>
      <c r="Y9" s="153" t="s">
        <v>333</v>
      </c>
      <c r="Z9" s="153" t="s">
        <v>332</v>
      </c>
    </row>
    <row r="10" spans="1:26" ht="16.149999999999999" customHeight="1" x14ac:dyDescent="0.15">
      <c r="A10" s="287"/>
      <c r="B10" s="299" t="s">
        <v>196</v>
      </c>
      <c r="C10" s="299" t="s">
        <v>197</v>
      </c>
      <c r="D10" s="289"/>
      <c r="E10" s="160"/>
      <c r="F10" s="157"/>
      <c r="G10" s="291"/>
      <c r="H10" s="285"/>
      <c r="I10" s="157"/>
      <c r="J10" s="5" t="s">
        <v>36</v>
      </c>
      <c r="K10" s="5" t="s">
        <v>40</v>
      </c>
      <c r="L10" s="5" t="s">
        <v>41</v>
      </c>
      <c r="M10" s="5" t="s">
        <v>42</v>
      </c>
      <c r="N10" s="5" t="s">
        <v>43</v>
      </c>
      <c r="O10" s="5" t="s">
        <v>44</v>
      </c>
      <c r="P10" s="5" t="s">
        <v>45</v>
      </c>
      <c r="Q10" s="5" t="s">
        <v>46</v>
      </c>
      <c r="R10" s="5" t="s">
        <v>47</v>
      </c>
      <c r="S10" s="5" t="s">
        <v>23</v>
      </c>
      <c r="T10" s="5" t="s">
        <v>24</v>
      </c>
      <c r="U10" s="5" t="s">
        <v>25</v>
      </c>
      <c r="V10" s="279"/>
      <c r="W10" s="154"/>
      <c r="X10" s="154"/>
      <c r="Y10" s="154"/>
      <c r="Z10" s="154"/>
    </row>
    <row r="11" spans="1:26" ht="23.45" customHeight="1" thickBot="1" x14ac:dyDescent="0.2">
      <c r="A11" s="288"/>
      <c r="B11" s="300"/>
      <c r="C11" s="300"/>
      <c r="D11" s="290"/>
      <c r="E11" s="161"/>
      <c r="F11" s="158"/>
      <c r="G11" s="292"/>
      <c r="H11" s="286"/>
      <c r="I11" s="158"/>
      <c r="J11" s="5" t="s">
        <v>37</v>
      </c>
      <c r="K11" s="5" t="s">
        <v>37</v>
      </c>
      <c r="L11" s="5" t="s">
        <v>37</v>
      </c>
      <c r="M11" s="5" t="s">
        <v>37</v>
      </c>
      <c r="N11" s="5" t="s">
        <v>37</v>
      </c>
      <c r="O11" s="5" t="s">
        <v>37</v>
      </c>
      <c r="P11" s="5" t="s">
        <v>37</v>
      </c>
      <c r="Q11" s="5" t="s">
        <v>37</v>
      </c>
      <c r="R11" s="5" t="s">
        <v>37</v>
      </c>
      <c r="S11" s="5" t="s">
        <v>37</v>
      </c>
      <c r="T11" s="5" t="s">
        <v>37</v>
      </c>
      <c r="U11" s="5" t="s">
        <v>37</v>
      </c>
      <c r="V11" s="280"/>
      <c r="W11" s="155"/>
      <c r="X11" s="155"/>
      <c r="Y11" s="155"/>
      <c r="Z11" s="155"/>
    </row>
    <row r="12" spans="1:26" ht="27" x14ac:dyDescent="0.15">
      <c r="A12" s="6"/>
      <c r="B12" s="106"/>
      <c r="C12" s="106"/>
      <c r="D12" s="6"/>
      <c r="E12" s="6"/>
      <c r="F12" s="6"/>
      <c r="G12" s="301" t="s">
        <v>26</v>
      </c>
      <c r="H12" s="301" t="s">
        <v>52</v>
      </c>
      <c r="I12" s="301" t="s">
        <v>27</v>
      </c>
      <c r="J12" s="301" t="s">
        <v>53</v>
      </c>
      <c r="K12" s="301" t="s">
        <v>54</v>
      </c>
      <c r="L12" s="301" t="s">
        <v>55</v>
      </c>
      <c r="M12" s="301" t="s">
        <v>56</v>
      </c>
      <c r="N12" s="301" t="s">
        <v>57</v>
      </c>
      <c r="O12" s="301" t="s">
        <v>58</v>
      </c>
      <c r="P12" s="301" t="s">
        <v>59</v>
      </c>
      <c r="Q12" s="301" t="s">
        <v>60</v>
      </c>
      <c r="R12" s="301" t="s">
        <v>61</v>
      </c>
      <c r="S12" s="301" t="s">
        <v>62</v>
      </c>
      <c r="T12" s="301" t="s">
        <v>63</v>
      </c>
      <c r="U12" s="301" t="s">
        <v>64</v>
      </c>
      <c r="V12" s="302" t="s">
        <v>65</v>
      </c>
      <c r="W12" s="303" t="s">
        <v>66</v>
      </c>
      <c r="X12" s="304" t="s">
        <v>69</v>
      </c>
      <c r="Y12" s="303" t="s">
        <v>70</v>
      </c>
      <c r="Z12" s="303" t="s">
        <v>71</v>
      </c>
    </row>
    <row r="13" spans="1:26" ht="16.149999999999999" customHeight="1" thickBot="1" x14ac:dyDescent="0.2">
      <c r="A13" s="6"/>
      <c r="B13" s="10"/>
      <c r="C13" s="10"/>
      <c r="D13" s="6"/>
      <c r="E13" s="6"/>
      <c r="F13" s="6"/>
      <c r="G13" s="6"/>
      <c r="H13" s="6"/>
      <c r="I13" s="140" t="s">
        <v>329</v>
      </c>
      <c r="J13" s="140" t="s">
        <v>335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107"/>
      <c r="V13" s="6"/>
      <c r="W13" s="6"/>
      <c r="X13" s="10"/>
      <c r="Y13" s="10"/>
    </row>
    <row r="14" spans="1:26" ht="39" customHeight="1" thickBot="1" x14ac:dyDescent="0.25">
      <c r="A14" s="55" t="s">
        <v>28</v>
      </c>
      <c r="B14" s="35" t="s">
        <v>343</v>
      </c>
      <c r="C14" s="109" t="s">
        <v>198</v>
      </c>
      <c r="D14" s="57" t="s">
        <v>77</v>
      </c>
      <c r="E14" s="58" t="s">
        <v>78</v>
      </c>
      <c r="F14" s="58" t="s">
        <v>80</v>
      </c>
      <c r="G14" s="305">
        <v>0</v>
      </c>
      <c r="H14" s="305">
        <f>+G32</f>
        <v>0</v>
      </c>
      <c r="I14" s="305">
        <f>+H32</f>
        <v>229</v>
      </c>
      <c r="J14" s="110">
        <v>229</v>
      </c>
      <c r="K14" s="110">
        <f>+J32</f>
        <v>360</v>
      </c>
      <c r="L14" s="110">
        <f t="shared" ref="L14:U14" si="0">+K32</f>
        <v>792</v>
      </c>
      <c r="M14" s="110">
        <f t="shared" si="0"/>
        <v>1296</v>
      </c>
      <c r="N14" s="110">
        <f t="shared" si="0"/>
        <v>2016</v>
      </c>
      <c r="O14" s="110">
        <f t="shared" si="0"/>
        <v>2808</v>
      </c>
      <c r="P14" s="110">
        <f t="shared" si="0"/>
        <v>3600</v>
      </c>
      <c r="Q14" s="110">
        <f t="shared" si="0"/>
        <v>4392</v>
      </c>
      <c r="R14" s="110">
        <f t="shared" si="0"/>
        <v>5184</v>
      </c>
      <c r="S14" s="110">
        <f t="shared" si="0"/>
        <v>6192</v>
      </c>
      <c r="T14" s="110">
        <f t="shared" si="0"/>
        <v>7272</v>
      </c>
      <c r="U14" s="110">
        <f t="shared" si="0"/>
        <v>7992</v>
      </c>
      <c r="V14" s="110">
        <f>+J14</f>
        <v>229</v>
      </c>
      <c r="W14" s="306">
        <f>V14-I14</f>
        <v>0</v>
      </c>
      <c r="X14" s="307">
        <f>IF(I14="","",ROUND(V14/I14,3))</f>
        <v>1</v>
      </c>
      <c r="Y14" s="306">
        <f>V14-H14</f>
        <v>229</v>
      </c>
      <c r="Z14" s="307" t="str">
        <f>IF(H14=0,"",ROUND(Y14/H14,3))</f>
        <v/>
      </c>
    </row>
    <row r="15" spans="1:26" ht="14.25" thickBot="1" x14ac:dyDescent="0.2">
      <c r="A15" s="55"/>
    </row>
    <row r="16" spans="1:26" ht="21.75" thickBot="1" x14ac:dyDescent="0.25">
      <c r="A16" s="55" t="s">
        <v>30</v>
      </c>
      <c r="B16" s="293" t="s">
        <v>312</v>
      </c>
      <c r="C16" s="98" t="s">
        <v>199</v>
      </c>
      <c r="D16" s="57" t="s">
        <v>77</v>
      </c>
      <c r="E16" s="58" t="s">
        <v>78</v>
      </c>
      <c r="F16" s="58" t="s">
        <v>80</v>
      </c>
      <c r="G16" s="305">
        <f>'[1]4実績予想売上代金回収関係'!I84</f>
        <v>0</v>
      </c>
      <c r="H16" s="305">
        <v>100000</v>
      </c>
      <c r="I16" s="305">
        <f>予算損益計算書!I13</f>
        <v>113400</v>
      </c>
      <c r="J16" s="305">
        <f>次期予算売上高!L49</f>
        <v>4500</v>
      </c>
      <c r="K16" s="305">
        <f>次期予算売上高!M49</f>
        <v>5400</v>
      </c>
      <c r="L16" s="305">
        <f>次期予算売上高!N49</f>
        <v>6300</v>
      </c>
      <c r="M16" s="305">
        <f>次期予算売上高!O49</f>
        <v>9000</v>
      </c>
      <c r="N16" s="305">
        <f>次期予算売上高!P49</f>
        <v>9900</v>
      </c>
      <c r="O16" s="305">
        <f>次期予算売上高!Q49</f>
        <v>9900</v>
      </c>
      <c r="P16" s="305">
        <f>次期予算売上高!R49</f>
        <v>9900</v>
      </c>
      <c r="Q16" s="305">
        <f>次期予算売上高!S49</f>
        <v>9900</v>
      </c>
      <c r="R16" s="305">
        <f>次期予算売上高!T49</f>
        <v>12600</v>
      </c>
      <c r="S16" s="305">
        <f>次期予算売上高!U49</f>
        <v>13500</v>
      </c>
      <c r="T16" s="305">
        <f>次期予算売上高!V49</f>
        <v>9000</v>
      </c>
      <c r="U16" s="305">
        <f>次期予算売上高!W49</f>
        <v>13500</v>
      </c>
      <c r="V16" s="308">
        <f>SUM(J16:U16)</f>
        <v>113400</v>
      </c>
      <c r="W16" s="309">
        <f>V16-I16</f>
        <v>0</v>
      </c>
      <c r="X16" s="307">
        <f>IF(I16="","",ROUND(V16/I16,3))</f>
        <v>1</v>
      </c>
      <c r="Y16" s="309">
        <f>V16-H16</f>
        <v>13400</v>
      </c>
      <c r="Z16" s="307">
        <f>IF(H16="","",ROUND(Y16/H16,3))</f>
        <v>0.13400000000000001</v>
      </c>
    </row>
    <row r="17" spans="1:26" ht="21.75" thickBot="1" x14ac:dyDescent="0.25">
      <c r="A17" s="55" t="s">
        <v>31</v>
      </c>
      <c r="B17" s="294"/>
      <c r="C17" s="56" t="s">
        <v>200</v>
      </c>
      <c r="D17" s="57" t="s">
        <v>77</v>
      </c>
      <c r="E17" s="58" t="s">
        <v>78</v>
      </c>
      <c r="F17" s="58" t="s">
        <v>80</v>
      </c>
      <c r="G17" s="110">
        <f>'[1]4実績予想売上代金回収関係'!I85</f>
        <v>0</v>
      </c>
      <c r="H17" s="110">
        <v>8000</v>
      </c>
      <c r="I17" s="110">
        <f>ROUND(I16*$D$4,0)</f>
        <v>9072</v>
      </c>
      <c r="J17" s="110">
        <f>ROUND(J16*$D$4,0)</f>
        <v>360</v>
      </c>
      <c r="K17" s="110">
        <f t="shared" ref="K17:U17" si="1">ROUND(K16*$D$4,0)</f>
        <v>432</v>
      </c>
      <c r="L17" s="110">
        <f t="shared" si="1"/>
        <v>504</v>
      </c>
      <c r="M17" s="110">
        <f t="shared" si="1"/>
        <v>720</v>
      </c>
      <c r="N17" s="110">
        <f t="shared" si="1"/>
        <v>792</v>
      </c>
      <c r="O17" s="110">
        <f t="shared" si="1"/>
        <v>792</v>
      </c>
      <c r="P17" s="110">
        <f t="shared" si="1"/>
        <v>792</v>
      </c>
      <c r="Q17" s="110">
        <f t="shared" si="1"/>
        <v>792</v>
      </c>
      <c r="R17" s="110">
        <f t="shared" si="1"/>
        <v>1008</v>
      </c>
      <c r="S17" s="110">
        <f t="shared" si="1"/>
        <v>1080</v>
      </c>
      <c r="T17" s="110">
        <f t="shared" si="1"/>
        <v>720</v>
      </c>
      <c r="U17" s="110">
        <f t="shared" si="1"/>
        <v>1080</v>
      </c>
      <c r="V17" s="111">
        <f>SUM(J17:U17)</f>
        <v>9072</v>
      </c>
      <c r="W17" s="309">
        <f>V17-I17</f>
        <v>0</v>
      </c>
      <c r="X17" s="307">
        <f>IF(I17="","",ROUND(V17/I17,3))</f>
        <v>1</v>
      </c>
      <c r="Y17" s="309">
        <f>V17-H17</f>
        <v>1072</v>
      </c>
      <c r="Z17" s="307">
        <f>IF(H17="","",ROUND(Y17/H17,3))</f>
        <v>0.13400000000000001</v>
      </c>
    </row>
    <row r="18" spans="1:26" ht="14.25" thickBot="1" x14ac:dyDescent="0.2"/>
    <row r="19" spans="1:26" ht="21.75" thickBot="1" x14ac:dyDescent="0.25">
      <c r="A19" s="55" t="s">
        <v>201</v>
      </c>
      <c r="B19" s="293" t="s">
        <v>313</v>
      </c>
      <c r="C19" s="112" t="s">
        <v>197</v>
      </c>
      <c r="D19" s="57" t="s">
        <v>77</v>
      </c>
      <c r="E19" s="58" t="s">
        <v>78</v>
      </c>
      <c r="F19" s="58" t="s">
        <v>202</v>
      </c>
      <c r="G19" s="305"/>
      <c r="H19" s="305">
        <v>97140</v>
      </c>
      <c r="I19" s="305">
        <v>58375</v>
      </c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>
        <f>SUM(O19:T19)</f>
        <v>0</v>
      </c>
      <c r="V19" s="308">
        <f>SUM(J19:U19)</f>
        <v>0</v>
      </c>
      <c r="W19" s="309">
        <f t="shared" ref="W19:W20" si="2">V19-I19</f>
        <v>-58375</v>
      </c>
      <c r="X19" s="307">
        <f t="shared" ref="X19" si="3">IF(I19="","",ROUND(V19/I19,3))</f>
        <v>0</v>
      </c>
      <c r="Y19" s="309">
        <f t="shared" ref="Y19:Y20" si="4">V19-H19</f>
        <v>-97140</v>
      </c>
      <c r="Z19" s="307">
        <f t="shared" ref="Z19:Z20" si="5">IF(H19="","",ROUND(Y19/H19,3))</f>
        <v>-1</v>
      </c>
    </row>
    <row r="20" spans="1:26" ht="21.75" thickBot="1" x14ac:dyDescent="0.25">
      <c r="A20" s="55" t="s">
        <v>203</v>
      </c>
      <c r="B20" s="295"/>
      <c r="C20" s="113" t="s">
        <v>200</v>
      </c>
      <c r="D20" s="57" t="s">
        <v>77</v>
      </c>
      <c r="E20" s="58" t="s">
        <v>78</v>
      </c>
      <c r="F20" s="58" t="s">
        <v>202</v>
      </c>
      <c r="G20" s="305">
        <f>IF(G19="",0,ROUND(G19*$D$4,0))</f>
        <v>0</v>
      </c>
      <c r="H20" s="110">
        <f>IF(H19="",0,ROUND(H19*$D$4,0))</f>
        <v>7771</v>
      </c>
      <c r="I20" s="110">
        <f t="shared" ref="I20:N20" si="6">IF(I19="",0,ROUND(I19*$D$4,0))</f>
        <v>4670</v>
      </c>
      <c r="J20" s="110">
        <f t="shared" si="6"/>
        <v>0</v>
      </c>
      <c r="K20" s="110">
        <f t="shared" si="6"/>
        <v>0</v>
      </c>
      <c r="L20" s="110">
        <f t="shared" si="6"/>
        <v>0</v>
      </c>
      <c r="M20" s="110">
        <f t="shared" si="6"/>
        <v>0</v>
      </c>
      <c r="N20" s="110">
        <f t="shared" si="6"/>
        <v>0</v>
      </c>
      <c r="O20" s="110">
        <f t="shared" ref="O20:T20" si="7">IF(O19="",0,ROUND(O19*$D$4,0))</f>
        <v>0</v>
      </c>
      <c r="P20" s="110">
        <f t="shared" si="7"/>
        <v>0</v>
      </c>
      <c r="Q20" s="110">
        <f t="shared" si="7"/>
        <v>0</v>
      </c>
      <c r="R20" s="110">
        <f t="shared" si="7"/>
        <v>0</v>
      </c>
      <c r="S20" s="110">
        <f t="shared" si="7"/>
        <v>0</v>
      </c>
      <c r="T20" s="110">
        <f t="shared" si="7"/>
        <v>0</v>
      </c>
      <c r="U20" s="110">
        <f>SUM(O20:T20)</f>
        <v>0</v>
      </c>
      <c r="V20" s="111">
        <f>SUM(J20:U20)</f>
        <v>0</v>
      </c>
      <c r="W20" s="309">
        <f t="shared" si="2"/>
        <v>-4670</v>
      </c>
      <c r="X20" s="307">
        <f>IF(I20=0,"",ROUND(V20/I20,3))</f>
        <v>0</v>
      </c>
      <c r="Y20" s="309">
        <f t="shared" si="4"/>
        <v>-7771</v>
      </c>
      <c r="Z20" s="307">
        <f t="shared" si="5"/>
        <v>-1</v>
      </c>
    </row>
    <row r="21" spans="1:26" ht="14.25" thickBot="1" x14ac:dyDescent="0.2">
      <c r="B21" s="295"/>
      <c r="U21" s="141"/>
    </row>
    <row r="22" spans="1:26" ht="21.75" thickBot="1" x14ac:dyDescent="0.25">
      <c r="A22" s="55" t="s">
        <v>204</v>
      </c>
      <c r="B22" s="295"/>
      <c r="C22" s="112" t="s">
        <v>197</v>
      </c>
      <c r="D22" s="57" t="s">
        <v>77</v>
      </c>
      <c r="E22" s="58" t="s">
        <v>78</v>
      </c>
      <c r="F22" s="58" t="s">
        <v>202</v>
      </c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>
        <f>SUM(O22:T22)</f>
        <v>0</v>
      </c>
      <c r="V22" s="308">
        <f>SUM(J22:U22)</f>
        <v>0</v>
      </c>
      <c r="W22" s="309">
        <f t="shared" ref="W22:W23" si="8">V22-I22</f>
        <v>0</v>
      </c>
      <c r="X22" s="307" t="str">
        <f t="shared" ref="X22:X23" si="9">IF(I22=0,"",ROUND(V22/I22,3))</f>
        <v/>
      </c>
      <c r="Y22" s="309">
        <f t="shared" ref="Y22:Y23" si="10">V22-H22</f>
        <v>0</v>
      </c>
      <c r="Z22" s="307" t="str">
        <f t="shared" ref="Z22" si="11">IF(H22="","",ROUND(Y22/H22,3))</f>
        <v/>
      </c>
    </row>
    <row r="23" spans="1:26" ht="21.75" thickBot="1" x14ac:dyDescent="0.25">
      <c r="A23" s="55" t="s">
        <v>205</v>
      </c>
      <c r="B23" s="295"/>
      <c r="C23" s="113" t="s">
        <v>200</v>
      </c>
      <c r="D23" s="57" t="s">
        <v>77</v>
      </c>
      <c r="E23" s="58" t="s">
        <v>78</v>
      </c>
      <c r="F23" s="58" t="s">
        <v>202</v>
      </c>
      <c r="G23" s="305">
        <f>IF(G22="",0,ROUND(G22*$D$4,0))</f>
        <v>0</v>
      </c>
      <c r="H23" s="305">
        <f>IF(H22="",0,ROUND(H22*$D$4,0))</f>
        <v>0</v>
      </c>
      <c r="I23" s="305">
        <f t="shared" ref="I23" si="12">IF(I22="",0,ROUND(I22*$D$4,0))</f>
        <v>0</v>
      </c>
      <c r="J23" s="305">
        <f t="shared" ref="J23" si="13">IF(J22="",0,ROUND(J22*$D$4,0))</f>
        <v>0</v>
      </c>
      <c r="K23" s="305">
        <f t="shared" ref="K23" si="14">IF(K22="",0,ROUND(K22*$D$4,0))</f>
        <v>0</v>
      </c>
      <c r="L23" s="305">
        <f t="shared" ref="L23" si="15">IF(L22="",0,ROUND(L22*$D$4,0))</f>
        <v>0</v>
      </c>
      <c r="M23" s="305">
        <f t="shared" ref="M23" si="16">IF(M22="",0,ROUND(M22*$D$4,0))</f>
        <v>0</v>
      </c>
      <c r="N23" s="305">
        <f t="shared" ref="N23" si="17">IF(N22="",0,ROUND(N22*$D$4,0))</f>
        <v>0</v>
      </c>
      <c r="O23" s="305">
        <f t="shared" ref="O23" si="18">IF(O22="",0,ROUND(O22*$D$4,0))</f>
        <v>0</v>
      </c>
      <c r="P23" s="305">
        <f t="shared" ref="P23:T23" si="19">IF(P22="",0,ROUND(P22*$D$4,0))</f>
        <v>0</v>
      </c>
      <c r="Q23" s="305">
        <f t="shared" si="19"/>
        <v>0</v>
      </c>
      <c r="R23" s="305">
        <f t="shared" si="19"/>
        <v>0</v>
      </c>
      <c r="S23" s="305">
        <f t="shared" si="19"/>
        <v>0</v>
      </c>
      <c r="T23" s="305">
        <f t="shared" si="19"/>
        <v>0</v>
      </c>
      <c r="U23" s="305">
        <f>SUM(O23:T23)</f>
        <v>0</v>
      </c>
      <c r="V23" s="111">
        <f>SUM(J23:U23)</f>
        <v>0</v>
      </c>
      <c r="W23" s="309">
        <f t="shared" si="8"/>
        <v>0</v>
      </c>
      <c r="X23" s="307" t="str">
        <f t="shared" si="9"/>
        <v/>
      </c>
      <c r="Y23" s="309">
        <f t="shared" si="10"/>
        <v>0</v>
      </c>
      <c r="Z23" s="307" t="str">
        <f>IF(H23=0,"",ROUND(Y23/H23,3))</f>
        <v/>
      </c>
    </row>
    <row r="24" spans="1:26" ht="14.25" thickBot="1" x14ac:dyDescent="0.2">
      <c r="B24" s="295"/>
      <c r="U24" s="141"/>
    </row>
    <row r="25" spans="1:26" ht="21.75" thickBot="1" x14ac:dyDescent="0.25">
      <c r="A25" s="55" t="s">
        <v>206</v>
      </c>
      <c r="B25" s="295"/>
      <c r="C25" s="112" t="s">
        <v>197</v>
      </c>
      <c r="D25" s="57" t="s">
        <v>77</v>
      </c>
      <c r="E25" s="58" t="s">
        <v>78</v>
      </c>
      <c r="F25" s="58" t="s">
        <v>202</v>
      </c>
      <c r="G25" s="305">
        <f>+G19+G22</f>
        <v>0</v>
      </c>
      <c r="H25" s="305">
        <f t="shared" ref="H25:T26" si="20">+H19+H22</f>
        <v>97140</v>
      </c>
      <c r="I25" s="305">
        <f t="shared" si="20"/>
        <v>58375</v>
      </c>
      <c r="J25" s="305">
        <f t="shared" si="20"/>
        <v>0</v>
      </c>
      <c r="K25" s="305">
        <f t="shared" si="20"/>
        <v>0</v>
      </c>
      <c r="L25" s="305">
        <f t="shared" si="20"/>
        <v>0</v>
      </c>
      <c r="M25" s="305">
        <f t="shared" si="20"/>
        <v>0</v>
      </c>
      <c r="N25" s="305">
        <f t="shared" si="20"/>
        <v>0</v>
      </c>
      <c r="O25" s="305">
        <f t="shared" si="20"/>
        <v>0</v>
      </c>
      <c r="P25" s="305">
        <f t="shared" si="20"/>
        <v>0</v>
      </c>
      <c r="Q25" s="305">
        <f t="shared" si="20"/>
        <v>0</v>
      </c>
      <c r="R25" s="305">
        <f t="shared" si="20"/>
        <v>0</v>
      </c>
      <c r="S25" s="305">
        <f t="shared" si="20"/>
        <v>0</v>
      </c>
      <c r="T25" s="305">
        <f t="shared" si="20"/>
        <v>0</v>
      </c>
      <c r="U25" s="305">
        <f>SUM(O25:T25)</f>
        <v>0</v>
      </c>
      <c r="V25" s="308">
        <f>IF(G25="","",+U25-G25)</f>
        <v>0</v>
      </c>
      <c r="W25" s="309">
        <f t="shared" ref="W25:W26" si="21">V25-I25</f>
        <v>-58375</v>
      </c>
      <c r="X25" s="307">
        <f t="shared" ref="X25:X26" si="22">IF(I25=0,"",ROUND(V25/I25,3))</f>
        <v>0</v>
      </c>
      <c r="Y25" s="309">
        <f t="shared" ref="Y25:Y26" si="23">V25-H25</f>
        <v>-97140</v>
      </c>
      <c r="Z25" s="307">
        <f t="shared" ref="Z25:Z26" si="24">IF(H25=0,"",ROUND(Y25/H25,3))</f>
        <v>-1</v>
      </c>
    </row>
    <row r="26" spans="1:26" ht="21.75" thickBot="1" x14ac:dyDescent="0.25">
      <c r="A26" s="55" t="s">
        <v>207</v>
      </c>
      <c r="B26" s="294"/>
      <c r="C26" s="113" t="s">
        <v>208</v>
      </c>
      <c r="D26" s="57" t="s">
        <v>77</v>
      </c>
      <c r="E26" s="58" t="s">
        <v>78</v>
      </c>
      <c r="F26" s="58" t="s">
        <v>202</v>
      </c>
      <c r="G26" s="305">
        <f>+G20+G23</f>
        <v>0</v>
      </c>
      <c r="H26" s="110">
        <f t="shared" si="20"/>
        <v>7771</v>
      </c>
      <c r="I26" s="110">
        <f t="shared" si="20"/>
        <v>4670</v>
      </c>
      <c r="J26" s="110">
        <f t="shared" si="20"/>
        <v>0</v>
      </c>
      <c r="K26" s="110">
        <f t="shared" si="20"/>
        <v>0</v>
      </c>
      <c r="L26" s="110">
        <f t="shared" si="20"/>
        <v>0</v>
      </c>
      <c r="M26" s="110">
        <f t="shared" si="20"/>
        <v>0</v>
      </c>
      <c r="N26" s="110">
        <f t="shared" si="20"/>
        <v>0</v>
      </c>
      <c r="O26" s="110">
        <f t="shared" si="20"/>
        <v>0</v>
      </c>
      <c r="P26" s="110">
        <f t="shared" si="20"/>
        <v>0</v>
      </c>
      <c r="Q26" s="110">
        <f t="shared" si="20"/>
        <v>0</v>
      </c>
      <c r="R26" s="110">
        <f t="shared" si="20"/>
        <v>0</v>
      </c>
      <c r="S26" s="110">
        <f t="shared" si="20"/>
        <v>0</v>
      </c>
      <c r="T26" s="110">
        <f t="shared" si="20"/>
        <v>0</v>
      </c>
      <c r="U26" s="110">
        <f>SUM(O26:T26)</f>
        <v>0</v>
      </c>
      <c r="V26" s="111">
        <f>IF(G26="","",+U26-G26)</f>
        <v>0</v>
      </c>
      <c r="W26" s="309">
        <f t="shared" si="21"/>
        <v>-4670</v>
      </c>
      <c r="X26" s="307">
        <f t="shared" si="22"/>
        <v>0</v>
      </c>
      <c r="Y26" s="309">
        <f t="shared" si="23"/>
        <v>-7771</v>
      </c>
      <c r="Z26" s="307">
        <f t="shared" si="24"/>
        <v>-1</v>
      </c>
    </row>
    <row r="27" spans="1:26" ht="14.25" thickBot="1" x14ac:dyDescent="0.2">
      <c r="U27" s="141"/>
    </row>
    <row r="28" spans="1:26" ht="57.6" customHeight="1" thickBot="1" x14ac:dyDescent="0.25">
      <c r="A28" s="55" t="s">
        <v>209</v>
      </c>
      <c r="B28" s="108" t="s">
        <v>334</v>
      </c>
      <c r="C28" s="109"/>
      <c r="D28" s="57" t="s">
        <v>77</v>
      </c>
      <c r="E28" s="58" t="s">
        <v>78</v>
      </c>
      <c r="F28" s="58" t="s">
        <v>202</v>
      </c>
      <c r="G28" s="311"/>
      <c r="H28" s="311"/>
      <c r="I28" s="311">
        <v>229</v>
      </c>
      <c r="J28" s="311">
        <v>229</v>
      </c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111">
        <f>SUM(J28:U28)</f>
        <v>229</v>
      </c>
      <c r="W28" s="306">
        <f t="shared" ref="W28" si="25">V28-I28</f>
        <v>0</v>
      </c>
      <c r="X28" s="307">
        <f t="shared" ref="X28" si="26">IF(I28=0,"",ROUND(V28/I28,3))</f>
        <v>1</v>
      </c>
      <c r="Y28" s="306">
        <f t="shared" ref="Y28" si="27">V28-H28</f>
        <v>229</v>
      </c>
      <c r="Z28" s="307" t="str">
        <f t="shared" ref="Z28" si="28">IF(H28=0,"",ROUND(Y28/H28,3))</f>
        <v/>
      </c>
    </row>
    <row r="29" spans="1:26" ht="14.25" thickBot="1" x14ac:dyDescent="0.2">
      <c r="U29" s="141"/>
    </row>
    <row r="30" spans="1:26" ht="38.25" thickBot="1" x14ac:dyDescent="0.25">
      <c r="A30" s="55" t="s">
        <v>210</v>
      </c>
      <c r="B30" s="108" t="s">
        <v>211</v>
      </c>
      <c r="C30" s="109"/>
      <c r="D30" s="57" t="s">
        <v>77</v>
      </c>
      <c r="E30" s="58" t="s">
        <v>78</v>
      </c>
      <c r="F30" s="58" t="s">
        <v>202</v>
      </c>
      <c r="G30" s="311"/>
      <c r="H30" s="311"/>
      <c r="I30" s="311">
        <v>171</v>
      </c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111">
        <f>SUM(J30:U30)</f>
        <v>0</v>
      </c>
      <c r="W30" s="309">
        <f t="shared" ref="W30" si="29">V30-I30</f>
        <v>-171</v>
      </c>
      <c r="X30" s="307">
        <f t="shared" ref="X30" si="30">IF(I30=0,"",ROUND(V30/I30,3))</f>
        <v>0</v>
      </c>
      <c r="Y30" s="309">
        <f t="shared" ref="Y30" si="31">V30-H30</f>
        <v>0</v>
      </c>
      <c r="Z30" s="307" t="str">
        <f t="shared" ref="Z30" si="32">IF(H30=0,"",ROUND(Y30/H30,3))</f>
        <v/>
      </c>
    </row>
    <row r="31" spans="1:26" ht="14.25" thickBot="1" x14ac:dyDescent="0.2">
      <c r="U31" s="141"/>
    </row>
    <row r="32" spans="1:26" ht="69.599999999999994" customHeight="1" thickBot="1" x14ac:dyDescent="0.25">
      <c r="A32" s="55" t="s">
        <v>209</v>
      </c>
      <c r="B32" s="108" t="s">
        <v>212</v>
      </c>
      <c r="C32" s="109" t="s">
        <v>213</v>
      </c>
      <c r="D32" s="57" t="s">
        <v>77</v>
      </c>
      <c r="E32" s="58" t="s">
        <v>78</v>
      </c>
      <c r="F32" s="58" t="s">
        <v>80</v>
      </c>
      <c r="G32" s="305">
        <f>G14-G26-G28-G31</f>
        <v>0</v>
      </c>
      <c r="H32" s="110">
        <f>H14+H17-H26-H28-H30</f>
        <v>229</v>
      </c>
      <c r="I32" s="110">
        <f t="shared" ref="I32:V32" si="33">I14+I17-I26-I28-I30</f>
        <v>4231</v>
      </c>
      <c r="J32" s="110">
        <f t="shared" si="33"/>
        <v>360</v>
      </c>
      <c r="K32" s="110">
        <f t="shared" si="33"/>
        <v>792</v>
      </c>
      <c r="L32" s="110">
        <f t="shared" si="33"/>
        <v>1296</v>
      </c>
      <c r="M32" s="110">
        <f t="shared" si="33"/>
        <v>2016</v>
      </c>
      <c r="N32" s="110">
        <f t="shared" si="33"/>
        <v>2808</v>
      </c>
      <c r="O32" s="110">
        <f t="shared" si="33"/>
        <v>3600</v>
      </c>
      <c r="P32" s="110">
        <f t="shared" si="33"/>
        <v>4392</v>
      </c>
      <c r="Q32" s="110">
        <f t="shared" si="33"/>
        <v>5184</v>
      </c>
      <c r="R32" s="110">
        <f t="shared" si="33"/>
        <v>6192</v>
      </c>
      <c r="S32" s="110">
        <f t="shared" si="33"/>
        <v>7272</v>
      </c>
      <c r="T32" s="110">
        <f t="shared" si="33"/>
        <v>7992</v>
      </c>
      <c r="U32" s="110">
        <f t="shared" si="33"/>
        <v>9072</v>
      </c>
      <c r="V32" s="110">
        <f t="shared" si="33"/>
        <v>9072</v>
      </c>
      <c r="W32" s="306">
        <f t="shared" ref="W32" si="34">V32-I32</f>
        <v>4841</v>
      </c>
      <c r="X32" s="307">
        <f t="shared" ref="X32" si="35">IF(I32=0,"",ROUND(V32/I32,3))</f>
        <v>2.1440000000000001</v>
      </c>
      <c r="Y32" s="306">
        <f t="shared" ref="Y32" si="36">V32-H32</f>
        <v>8843</v>
      </c>
      <c r="Z32" s="307">
        <f t="shared" ref="Z32" si="37">IF(H32=0,"",ROUND(Y32/H32,3))</f>
        <v>38.616</v>
      </c>
    </row>
  </sheetData>
  <mergeCells count="26">
    <mergeCell ref="Z9:Z11"/>
    <mergeCell ref="B16:B17"/>
    <mergeCell ref="B19:B26"/>
    <mergeCell ref="D3:E3"/>
    <mergeCell ref="D4:E4"/>
    <mergeCell ref="U4:V4"/>
    <mergeCell ref="U5:V5"/>
    <mergeCell ref="U6:V6"/>
    <mergeCell ref="U7:V7"/>
    <mergeCell ref="I9:I11"/>
    <mergeCell ref="W9:W11"/>
    <mergeCell ref="X9:X11"/>
    <mergeCell ref="Y9:Y11"/>
    <mergeCell ref="B10:B11"/>
    <mergeCell ref="C10:C11"/>
    <mergeCell ref="B7:G7"/>
    <mergeCell ref="V9:V11"/>
    <mergeCell ref="A2:Y2"/>
    <mergeCell ref="B6:C6"/>
    <mergeCell ref="D6:G6"/>
    <mergeCell ref="H9:H11"/>
    <mergeCell ref="A9:A11"/>
    <mergeCell ref="D9:D11"/>
    <mergeCell ref="E9:E11"/>
    <mergeCell ref="F9:F11"/>
    <mergeCell ref="G9:G11"/>
  </mergeCells>
  <phoneticPr fontId="2"/>
  <printOptions horizontalCentered="1"/>
  <pageMargins left="0.19685039370078741" right="0.19685039370078741" top="0.35433070866141736" bottom="0.27559055118110237" header="0.31496062992125984" footer="0.31496062992125984"/>
  <pageSetup paperSize="9"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当期実績予想売上高</vt:lpstr>
      <vt:lpstr>予算編成方針売上高</vt:lpstr>
      <vt:lpstr>次期予算売上高</vt:lpstr>
      <vt:lpstr>予算損益計算書</vt:lpstr>
      <vt:lpstr>次期予算消費税等計画書</vt:lpstr>
      <vt:lpstr>次期予算消費税等計画書!Print_Area</vt:lpstr>
      <vt:lpstr>次期予算売上高!Print_Area</vt:lpstr>
      <vt:lpstr>当期実績予想売上高!Print_Area</vt:lpstr>
      <vt:lpstr>予算損益計算書!Print_Area</vt:lpstr>
      <vt:lpstr>予算編成方針売上高!Print_Area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kobama</dc:creator>
  <cp:lastModifiedBy>3cc</cp:lastModifiedBy>
  <cp:lastPrinted>2016-05-24T05:14:46Z</cp:lastPrinted>
  <dcterms:created xsi:type="dcterms:W3CDTF">2016-05-20T05:42:01Z</dcterms:created>
  <dcterms:modified xsi:type="dcterms:W3CDTF">2016-05-24T07:26:16Z</dcterms:modified>
</cp:coreProperties>
</file>